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6.xml" ContentType="application/vnd.openxmlformats-officedocument.spreadsheetml.comments+xml"/>
  <Override PartName="/xl/comments4.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FA90060C-4947-4D30-AAB0-F669E814957E}"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 sheetId="33" r:id="rId15"/>
    <sheet name="CAPM" sheetId="34" r:id="rId16"/>
    <sheet name="Single Stage Div Growth Model" sheetId="19" r:id="rId17"/>
    <sheet name="Two-Stage Div Growth Model" sheetId="20" r:id="rId18"/>
    <sheet name="Multiples" sheetId="25" r:id="rId19"/>
    <sheet name="Info" sheetId="9" r:id="rId20"/>
  </sheets>
  <definedNames>
    <definedName name="_xlnm.Print_Area" localSheetId="6">'Beta for CAPM'!$A$1:$I$35</definedName>
    <definedName name="_xlnm.Print_Area" localSheetId="15">CAPM!$A$1:$H$84</definedName>
    <definedName name="_xlnm.Print_Area" localSheetId="0">'Cover Sheet'!$A$1:$I$37</definedName>
    <definedName name="_xlnm.Print_Area" localSheetId="2">'Direct CapRates'!$A$1:$H$66</definedName>
    <definedName name="_xlnm.Print_Area" localSheetId="9">'Direct Debt'!$A$1:$K$32</definedName>
    <definedName name="_xlnm.Print_Area" localSheetId="11">'Direct GCF'!$A$1:$N$36</definedName>
    <definedName name="_xlnm.Print_Area" localSheetId="12">'Direct NOPAT'!$A$1:$N$54</definedName>
    <definedName name="_xlnm.Print_Area" localSheetId="7">'Dividends '!$A$1:$K$28</definedName>
    <definedName name="_xlnm.Print_Area" localSheetId="8">Earnings!$A$1:$K$27</definedName>
    <definedName name="_xlnm.Print_Area" localSheetId="13">'Growth &amp; Inflation Rates'!$A$1:$H$116</definedName>
    <definedName name="_xlnm.Print_Area" localSheetId="14">'Indicated Yield Equity Rate '!$A$1:$F$62</definedName>
    <definedName name="_xlnm.Print_Area" localSheetId="5">'Maintenance CapEx'!$A$1:$L$74</definedName>
    <definedName name="_xlnm.Print_Area" localSheetId="4">'Market to Book Ratios'!$A$1:$G$56</definedName>
    <definedName name="_xlnm.Print_Area" localSheetId="18">Multiples!$A$1:$H$38</definedName>
    <definedName name="_xlnm.Print_Area" localSheetId="3">'S&amp;D'!$A$1:$L$64</definedName>
    <definedName name="_xlnm.Print_Area" localSheetId="16">'Single Stage Div Growth Model'!$A$1:$K$44</definedName>
    <definedName name="_xlnm.Print_Area" localSheetId="17">'Two-Stage Div Growth Model'!$A$1:$I$42</definedName>
    <definedName name="_xlnm.Print_Area" localSheetId="1">'Yield CapRate'!$A$1:$H$35</definedName>
    <definedName name="_xlnm.Print_Area" localSheetId="10">'Yield Debt'!$A$1:$M$56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3" i="24" l="1"/>
  <c r="E90" i="24"/>
  <c r="D90" i="24"/>
  <c r="F90" i="24" s="1"/>
  <c r="E89" i="24"/>
  <c r="F86" i="24"/>
  <c r="D86" i="24"/>
  <c r="D85" i="24"/>
  <c r="F85" i="24" s="1"/>
  <c r="F84" i="24"/>
  <c r="D84" i="24"/>
  <c r="D83" i="24"/>
  <c r="F83" i="24" s="1"/>
  <c r="F82" i="24"/>
  <c r="D82" i="24"/>
  <c r="D81" i="24"/>
  <c r="F81" i="24" s="1"/>
  <c r="F80" i="24"/>
  <c r="D80" i="24"/>
  <c r="D79" i="24"/>
  <c r="F79" i="24" s="1"/>
  <c r="A46" i="34"/>
  <c r="E46" i="34"/>
  <c r="C46" i="34"/>
  <c r="D46" i="34" s="1"/>
  <c r="B46" i="34"/>
  <c r="A59" i="34"/>
  <c r="A58" i="34"/>
  <c r="A57" i="34"/>
  <c r="D89" i="24" l="1"/>
  <c r="F89" i="24" s="1"/>
  <c r="A6" i="25"/>
  <c r="A6" i="20"/>
  <c r="A6" i="19"/>
  <c r="B58" i="34"/>
  <c r="E58" i="34" s="1"/>
  <c r="B48" i="34"/>
  <c r="E48" i="34" s="1"/>
  <c r="A48" i="34"/>
  <c r="B47" i="34"/>
  <c r="E47" i="34" s="1"/>
  <c r="A47" i="34"/>
  <c r="A45" i="34"/>
  <c r="A6" i="34"/>
  <c r="A6" i="33"/>
  <c r="A7" i="24"/>
  <c r="A6" i="12"/>
  <c r="A6" i="5"/>
  <c r="A6" i="8"/>
  <c r="A6" i="13"/>
  <c r="A6" i="27"/>
  <c r="A6" i="17"/>
  <c r="A8" i="14"/>
  <c r="A8" i="11"/>
  <c r="A9" i="29"/>
  <c r="A16" i="6"/>
  <c r="D16" i="7"/>
  <c r="D15" i="10"/>
  <c r="C16" i="34"/>
  <c r="C20" i="34" s="1"/>
  <c r="D20" i="34" s="1"/>
  <c r="E16" i="34"/>
  <c r="B61" i="34"/>
  <c r="E61" i="34" s="1"/>
  <c r="B59" i="34"/>
  <c r="E59" i="34" s="1"/>
  <c r="B57" i="34"/>
  <c r="E57" i="34" s="1"/>
  <c r="B55" i="34"/>
  <c r="E55" i="34" s="1"/>
  <c r="B54" i="34"/>
  <c r="E54" i="34" s="1"/>
  <c r="B52" i="34"/>
  <c r="E52" i="34" s="1"/>
  <c r="B50" i="34"/>
  <c r="E50" i="34" s="1"/>
  <c r="B45" i="34"/>
  <c r="E45" i="34" s="1"/>
  <c r="B43" i="34"/>
  <c r="E43" i="34" s="1"/>
  <c r="B42" i="34"/>
  <c r="E42" i="34" s="1"/>
  <c r="D45" i="33"/>
  <c r="G22" i="11"/>
  <c r="J28" i="13"/>
  <c r="I28" i="13"/>
  <c r="D23" i="7"/>
  <c r="D44" i="33"/>
  <c r="D43" i="33"/>
  <c r="D42" i="33"/>
  <c r="C42" i="34" l="1"/>
  <c r="C22" i="34"/>
  <c r="C21" i="34"/>
  <c r="E24" i="34"/>
  <c r="F50" i="34" s="1"/>
  <c r="E21" i="34"/>
  <c r="F47" i="34" s="1"/>
  <c r="E22" i="34"/>
  <c r="F48" i="34" s="1"/>
  <c r="F42" i="34"/>
  <c r="C19" i="34"/>
  <c r="C26" i="34"/>
  <c r="C29" i="34"/>
  <c r="C33" i="34"/>
  <c r="E19" i="34"/>
  <c r="F45" i="34" s="1"/>
  <c r="E26" i="34"/>
  <c r="F52" i="34" s="1"/>
  <c r="E28" i="34"/>
  <c r="F54" i="34" s="1"/>
  <c r="E29" i="34"/>
  <c r="F55" i="34" s="1"/>
  <c r="E31" i="34"/>
  <c r="F57" i="34" s="1"/>
  <c r="E33" i="34"/>
  <c r="F59" i="34" s="1"/>
  <c r="E35" i="34"/>
  <c r="F61" i="34" s="1"/>
  <c r="D42" i="34"/>
  <c r="G42" i="34" s="1"/>
  <c r="D28" i="33" s="1"/>
  <c r="C17" i="34"/>
  <c r="C32" i="34" s="1"/>
  <c r="C24" i="34"/>
  <c r="C28" i="34"/>
  <c r="C31" i="34"/>
  <c r="C35" i="34"/>
  <c r="D35" i="34" s="1"/>
  <c r="D16" i="34"/>
  <c r="F16" i="34" s="1"/>
  <c r="D14" i="33" s="1"/>
  <c r="E17" i="34"/>
  <c r="E20" i="34" s="1"/>
  <c r="F20" i="34" l="1"/>
  <c r="D17" i="33" s="1"/>
  <c r="F46" i="34"/>
  <c r="G46" i="34" s="1"/>
  <c r="D31" i="33" s="1"/>
  <c r="D22" i="34"/>
  <c r="F22" i="34" s="1"/>
  <c r="D19" i="33" s="1"/>
  <c r="C48" i="34"/>
  <c r="D48" i="34" s="1"/>
  <c r="G48" i="34" s="1"/>
  <c r="D33" i="33" s="1"/>
  <c r="D32" i="34"/>
  <c r="C58" i="34"/>
  <c r="D58" i="34" s="1"/>
  <c r="D21" i="34"/>
  <c r="F21" i="34" s="1"/>
  <c r="D18" i="33" s="1"/>
  <c r="C47" i="34"/>
  <c r="D47" i="34" s="1"/>
  <c r="G47" i="34" s="1"/>
  <c r="D32" i="33" s="1"/>
  <c r="F43" i="34"/>
  <c r="E32" i="34"/>
  <c r="F58" i="34" s="1"/>
  <c r="F35" i="34"/>
  <c r="D27" i="33" s="1"/>
  <c r="C61" i="34"/>
  <c r="D61" i="34" s="1"/>
  <c r="G61" i="34" s="1"/>
  <c r="D41" i="33" s="1"/>
  <c r="D33" i="34"/>
  <c r="F33" i="34" s="1"/>
  <c r="D26" i="33" s="1"/>
  <c r="C54" i="34"/>
  <c r="D54" i="34" s="1"/>
  <c r="G54" i="34" s="1"/>
  <c r="D36" i="33" s="1"/>
  <c r="D28" i="34"/>
  <c r="F28" i="34" s="1"/>
  <c r="D22" i="33" s="1"/>
  <c r="C59" i="34"/>
  <c r="D59" i="34" s="1"/>
  <c r="G59" i="34" s="1"/>
  <c r="D40" i="33" s="1"/>
  <c r="C55" i="34"/>
  <c r="D55" i="34" s="1"/>
  <c r="G55" i="34" s="1"/>
  <c r="D37" i="33" s="1"/>
  <c r="D29" i="34"/>
  <c r="F29" i="34" s="1"/>
  <c r="D23" i="33" s="1"/>
  <c r="C50" i="34"/>
  <c r="D50" i="34" s="1"/>
  <c r="G50" i="34" s="1"/>
  <c r="D34" i="33" s="1"/>
  <c r="D24" i="34"/>
  <c r="F24" i="34" s="1"/>
  <c r="D20" i="33" s="1"/>
  <c r="C52" i="34"/>
  <c r="D52" i="34" s="1"/>
  <c r="G52" i="34" s="1"/>
  <c r="D35" i="33" s="1"/>
  <c r="D26" i="34"/>
  <c r="F26" i="34" s="1"/>
  <c r="D21" i="33" s="1"/>
  <c r="C57" i="34"/>
  <c r="D57" i="34" s="1"/>
  <c r="G57" i="34" s="1"/>
  <c r="D38" i="33" s="1"/>
  <c r="D31" i="34"/>
  <c r="F31" i="34" s="1"/>
  <c r="D24" i="33" s="1"/>
  <c r="C43" i="34"/>
  <c r="D43" i="34" s="1"/>
  <c r="G43" i="34" s="1"/>
  <c r="D29" i="33" s="1"/>
  <c r="D17" i="34"/>
  <c r="F17" i="34" s="1"/>
  <c r="D15" i="33" s="1"/>
  <c r="C45" i="34"/>
  <c r="D45" i="34" s="1"/>
  <c r="G45" i="34" s="1"/>
  <c r="D30" i="33" s="1"/>
  <c r="D19" i="34"/>
  <c r="F19" i="34" s="1"/>
  <c r="D16" i="33" s="1"/>
  <c r="J17" i="19"/>
  <c r="D56" i="10"/>
  <c r="D23" i="20"/>
  <c r="E24" i="20"/>
  <c r="E23" i="20"/>
  <c r="E22" i="20"/>
  <c r="E21" i="20"/>
  <c r="G58" i="34" l="1"/>
  <c r="D39" i="33" s="1"/>
  <c r="F32" i="34"/>
  <c r="D25" i="33" s="1"/>
  <c r="D51" i="33" s="1"/>
  <c r="D50" i="33"/>
  <c r="G22" i="8"/>
  <c r="G23" i="8"/>
  <c r="D49" i="33" l="1"/>
  <c r="D21" i="11"/>
  <c r="E21" i="11"/>
  <c r="E22" i="13" l="1"/>
  <c r="E20" i="13"/>
  <c r="E19" i="13"/>
  <c r="G22" i="13"/>
  <c r="F22" i="13"/>
  <c r="G21" i="13"/>
  <c r="F21" i="13"/>
  <c r="G20" i="13"/>
  <c r="F20" i="13"/>
  <c r="G19" i="13"/>
  <c r="F19" i="13"/>
  <c r="F23" i="11"/>
  <c r="F22" i="11"/>
  <c r="F21" i="11"/>
  <c r="F20" i="11"/>
  <c r="F38" i="3"/>
  <c r="F37" i="3"/>
  <c r="F36" i="3"/>
  <c r="F35" i="3"/>
  <c r="G61" i="3"/>
  <c r="G60" i="3"/>
  <c r="E38" i="3"/>
  <c r="E37" i="3"/>
  <c r="G36" i="3"/>
  <c r="E36" i="3"/>
  <c r="E35" i="3"/>
  <c r="J25" i="3"/>
  <c r="G38" i="3" s="1"/>
  <c r="H25" i="3"/>
  <c r="F25" i="3"/>
  <c r="J24" i="3"/>
  <c r="G37" i="3" s="1"/>
  <c r="F24" i="3"/>
  <c r="J23" i="3"/>
  <c r="F23" i="3"/>
  <c r="J22" i="3"/>
  <c r="G35" i="3" s="1"/>
  <c r="F22" i="3"/>
  <c r="C23" i="11"/>
  <c r="C22" i="11"/>
  <c r="C21" i="11"/>
  <c r="C20" i="11"/>
  <c r="G24" i="24"/>
  <c r="F21" i="20" l="1"/>
  <c r="F22" i="20" l="1"/>
  <c r="F24" i="20"/>
  <c r="F23" i="20"/>
  <c r="A43" i="12"/>
  <c r="C43" i="12"/>
  <c r="D43" i="12"/>
  <c r="A44" i="12"/>
  <c r="C44" i="12"/>
  <c r="D44" i="12"/>
  <c r="A45" i="12"/>
  <c r="C45" i="12"/>
  <c r="D45" i="12"/>
  <c r="A46" i="12"/>
  <c r="C46" i="12"/>
  <c r="D46" i="12"/>
  <c r="E50" i="12" l="1"/>
  <c r="F46" i="12"/>
  <c r="G46" i="12" s="1"/>
  <c r="F45" i="12"/>
  <c r="G45" i="12" s="1"/>
  <c r="F44" i="12"/>
  <c r="G44" i="12" s="1"/>
  <c r="F43" i="12"/>
  <c r="E51" i="12"/>
  <c r="F51" i="12" l="1"/>
  <c r="F50" i="12"/>
  <c r="G43" i="12"/>
  <c r="G50" i="12" s="1"/>
  <c r="G51" i="12" l="1"/>
  <c r="D19" i="25" l="1"/>
  <c r="C19" i="25"/>
  <c r="B19" i="25"/>
  <c r="D18" i="25"/>
  <c r="C18" i="25"/>
  <c r="B18" i="25"/>
  <c r="D17" i="25"/>
  <c r="C17" i="25"/>
  <c r="B17" i="25"/>
  <c r="C24" i="20"/>
  <c r="B24" i="20"/>
  <c r="A24" i="20"/>
  <c r="C23" i="20"/>
  <c r="B23" i="20"/>
  <c r="A23" i="20"/>
  <c r="C22" i="20"/>
  <c r="B22" i="20"/>
  <c r="A22" i="20"/>
  <c r="D20" i="19"/>
  <c r="C20" i="19"/>
  <c r="B20" i="19"/>
  <c r="A20" i="19"/>
  <c r="D19" i="19"/>
  <c r="C19" i="19"/>
  <c r="B19" i="19"/>
  <c r="A19" i="19"/>
  <c r="D18" i="19"/>
  <c r="C18" i="19"/>
  <c r="B18" i="19"/>
  <c r="A18" i="19"/>
  <c r="D19" i="12"/>
  <c r="J19" i="12" s="1"/>
  <c r="L19" i="12" s="1"/>
  <c r="M19" i="12" s="1"/>
  <c r="C19" i="12"/>
  <c r="I19" i="12" s="1"/>
  <c r="A19" i="12"/>
  <c r="D18" i="12"/>
  <c r="F18" i="12" s="1"/>
  <c r="G18" i="12" s="1"/>
  <c r="C18" i="12"/>
  <c r="I18" i="12" s="1"/>
  <c r="A18" i="12"/>
  <c r="D17" i="12"/>
  <c r="J17" i="12" s="1"/>
  <c r="L17" i="12" s="1"/>
  <c r="M17" i="12" s="1"/>
  <c r="C17" i="12"/>
  <c r="I17" i="12" s="1"/>
  <c r="A17" i="12"/>
  <c r="C20" i="5"/>
  <c r="I20" i="5" s="1"/>
  <c r="L20" i="5" s="1"/>
  <c r="M20" i="5" s="1"/>
  <c r="B20" i="5"/>
  <c r="H20" i="5" s="1"/>
  <c r="A20" i="5"/>
  <c r="C19" i="5"/>
  <c r="I19" i="5" s="1"/>
  <c r="L19" i="5" s="1"/>
  <c r="M19" i="5" s="1"/>
  <c r="B19" i="5"/>
  <c r="H19" i="5" s="1"/>
  <c r="A19" i="5"/>
  <c r="C18" i="5"/>
  <c r="E18" i="5" s="1"/>
  <c r="F18" i="5" s="1"/>
  <c r="B18" i="5"/>
  <c r="H18" i="5" s="1"/>
  <c r="A18" i="5"/>
  <c r="E18" i="8"/>
  <c r="D18" i="8"/>
  <c r="C18" i="8"/>
  <c r="B18" i="8"/>
  <c r="A18" i="8"/>
  <c r="E17" i="8"/>
  <c r="D17" i="8"/>
  <c r="C17" i="8"/>
  <c r="B17" i="8"/>
  <c r="A17" i="8"/>
  <c r="E16" i="8"/>
  <c r="D16" i="8"/>
  <c r="C16" i="8"/>
  <c r="B16" i="8"/>
  <c r="A16" i="8"/>
  <c r="B22" i="13"/>
  <c r="A22" i="13"/>
  <c r="B21" i="13"/>
  <c r="A21" i="13"/>
  <c r="B20" i="13"/>
  <c r="A20" i="13"/>
  <c r="K19" i="27"/>
  <c r="D19" i="27"/>
  <c r="J19" i="27" s="1"/>
  <c r="C19" i="27"/>
  <c r="B19" i="27"/>
  <c r="A19" i="27"/>
  <c r="K18" i="27"/>
  <c r="D18" i="27"/>
  <c r="J18" i="27" s="1"/>
  <c r="C18" i="27"/>
  <c r="B18" i="27"/>
  <c r="A18" i="27"/>
  <c r="K17" i="27"/>
  <c r="D17" i="27"/>
  <c r="J17" i="27" s="1"/>
  <c r="C17" i="27"/>
  <c r="B17" i="27"/>
  <c r="A17" i="27"/>
  <c r="K19" i="17"/>
  <c r="D19" i="17"/>
  <c r="J19" i="17" s="1"/>
  <c r="C19" i="17"/>
  <c r="B19" i="17"/>
  <c r="A19" i="17"/>
  <c r="K18" i="17"/>
  <c r="D18" i="17"/>
  <c r="J18" i="17" s="1"/>
  <c r="C18" i="17"/>
  <c r="B18" i="17"/>
  <c r="A18" i="17"/>
  <c r="D17" i="17"/>
  <c r="C17" i="17"/>
  <c r="B17" i="17"/>
  <c r="A17" i="17"/>
  <c r="C21" i="14"/>
  <c r="B21" i="14"/>
  <c r="A21" i="14"/>
  <c r="C20" i="14"/>
  <c r="B20" i="14"/>
  <c r="A20" i="14"/>
  <c r="C19" i="14"/>
  <c r="B19" i="14"/>
  <c r="A19" i="14"/>
  <c r="H23" i="11"/>
  <c r="J23" i="11" s="1"/>
  <c r="B23" i="11"/>
  <c r="A23" i="11"/>
  <c r="H22" i="11"/>
  <c r="B22" i="11"/>
  <c r="A22" i="11"/>
  <c r="H21" i="11"/>
  <c r="B21" i="11"/>
  <c r="A21" i="11"/>
  <c r="A42" i="29"/>
  <c r="C25" i="29"/>
  <c r="C41" i="29" s="1"/>
  <c r="B25" i="29"/>
  <c r="B41" i="29" s="1"/>
  <c r="A25" i="29"/>
  <c r="A41" i="29" s="1"/>
  <c r="C24" i="29"/>
  <c r="C40" i="29" s="1"/>
  <c r="B24" i="29"/>
  <c r="B40" i="29" s="1"/>
  <c r="A24" i="29"/>
  <c r="A40" i="29" s="1"/>
  <c r="C23" i="29"/>
  <c r="C39" i="29" s="1"/>
  <c r="B23" i="29"/>
  <c r="B39" i="29" s="1"/>
  <c r="A23" i="29"/>
  <c r="A39" i="29" s="1"/>
  <c r="D38" i="3"/>
  <c r="E20" i="19" s="1"/>
  <c r="D37" i="3"/>
  <c r="E19" i="19" s="1"/>
  <c r="D36" i="3"/>
  <c r="E41" i="29"/>
  <c r="E40" i="29"/>
  <c r="C38" i="3"/>
  <c r="B38" i="3"/>
  <c r="A38" i="3"/>
  <c r="C37" i="3"/>
  <c r="B37" i="3"/>
  <c r="A37" i="3"/>
  <c r="C36" i="3"/>
  <c r="B36" i="3"/>
  <c r="A36" i="3"/>
  <c r="F18" i="25" l="1"/>
  <c r="H18" i="25"/>
  <c r="F17" i="25"/>
  <c r="H17" i="25"/>
  <c r="F19" i="25"/>
  <c r="H19" i="25"/>
  <c r="I23" i="11"/>
  <c r="K23" i="11" s="1"/>
  <c r="L23" i="11" s="1"/>
  <c r="I21" i="11"/>
  <c r="F19" i="17"/>
  <c r="H20" i="13"/>
  <c r="I20" i="13" s="1"/>
  <c r="D39" i="29"/>
  <c r="F18" i="17"/>
  <c r="F18" i="27"/>
  <c r="H38" i="3"/>
  <c r="I38" i="3" s="1"/>
  <c r="E39" i="29"/>
  <c r="F19" i="12"/>
  <c r="G19" i="12" s="1"/>
  <c r="E19" i="5"/>
  <c r="F19" i="5" s="1"/>
  <c r="F17" i="27"/>
  <c r="F19" i="27"/>
  <c r="E20" i="5"/>
  <c r="F20" i="5" s="1"/>
  <c r="F17" i="12"/>
  <c r="G17" i="12" s="1"/>
  <c r="D23" i="29"/>
  <c r="F23" i="29" s="1"/>
  <c r="D24" i="29"/>
  <c r="F24" i="29" s="1"/>
  <c r="D25" i="29"/>
  <c r="F25" i="29" s="1"/>
  <c r="E18" i="19"/>
  <c r="J18" i="12"/>
  <c r="L18" i="12" s="1"/>
  <c r="M18" i="12" s="1"/>
  <c r="I18" i="5"/>
  <c r="L18" i="5" s="1"/>
  <c r="M18" i="5" s="1"/>
  <c r="H17" i="27"/>
  <c r="H18" i="27"/>
  <c r="H19" i="27"/>
  <c r="H18" i="17"/>
  <c r="H19" i="17"/>
  <c r="J21" i="11"/>
  <c r="I22" i="11"/>
  <c r="J22" i="11"/>
  <c r="H36" i="3"/>
  <c r="I36" i="3" s="1"/>
  <c r="F19" i="19" l="1"/>
  <c r="J19" i="19" s="1"/>
  <c r="F18" i="19"/>
  <c r="D22" i="20" s="1"/>
  <c r="F20" i="19"/>
  <c r="K21" i="11"/>
  <c r="L21" i="11" s="1"/>
  <c r="K22" i="11"/>
  <c r="L22" i="11" s="1"/>
  <c r="D41" i="29"/>
  <c r="F41" i="29" s="1"/>
  <c r="H37" i="3"/>
  <c r="D40" i="29"/>
  <c r="F40" i="29" s="1"/>
  <c r="J20" i="13"/>
  <c r="F39" i="29"/>
  <c r="J36" i="3"/>
  <c r="J38" i="3"/>
  <c r="J20" i="19" l="1"/>
  <c r="D24" i="20"/>
  <c r="I19" i="19"/>
  <c r="I20" i="19"/>
  <c r="J21" i="13"/>
  <c r="H21" i="13"/>
  <c r="I21" i="13" s="1"/>
  <c r="I37" i="3"/>
  <c r="J37" i="3"/>
  <c r="J22" i="13"/>
  <c r="H22" i="13"/>
  <c r="I22" i="13" s="1"/>
  <c r="A20" i="11" l="1"/>
  <c r="C21" i="20" l="1"/>
  <c r="B21" i="20"/>
  <c r="A21" i="20"/>
  <c r="C17" i="19"/>
  <c r="B17" i="19"/>
  <c r="A17" i="19"/>
  <c r="C16" i="12"/>
  <c r="I16" i="12" s="1"/>
  <c r="A16" i="12"/>
  <c r="B17" i="5"/>
  <c r="H17" i="5" s="1"/>
  <c r="A17" i="5"/>
  <c r="D15" i="8"/>
  <c r="C16" i="25" l="1"/>
  <c r="B16" i="25"/>
  <c r="C15" i="8"/>
  <c r="B15" i="8"/>
  <c r="A15" i="8"/>
  <c r="B19" i="13"/>
  <c r="A19" i="13"/>
  <c r="C16" i="27"/>
  <c r="B16" i="27"/>
  <c r="A16" i="27"/>
  <c r="C16" i="17"/>
  <c r="B16" i="17"/>
  <c r="A16" i="17"/>
  <c r="C18" i="14" l="1"/>
  <c r="B18" i="14"/>
  <c r="A18" i="14"/>
  <c r="B20" i="11" l="1"/>
  <c r="C22" i="29"/>
  <c r="C38" i="29" s="1"/>
  <c r="B22" i="29"/>
  <c r="B38" i="29" s="1"/>
  <c r="A22" i="29"/>
  <c r="A38" i="29" s="1"/>
  <c r="G64" i="10" l="1"/>
  <c r="B51" i="29"/>
  <c r="I23" i="27"/>
  <c r="G23" i="27"/>
  <c r="E23" i="27"/>
  <c r="I22" i="27"/>
  <c r="G22" i="27"/>
  <c r="E22" i="27"/>
  <c r="K16" i="27"/>
  <c r="D16" i="27"/>
  <c r="J16" i="27" s="1"/>
  <c r="A15" i="24" l="1"/>
  <c r="A24" i="24"/>
  <c r="G22" i="20"/>
  <c r="G24" i="20"/>
  <c r="H24" i="20" s="1"/>
  <c r="G23" i="20"/>
  <c r="H23" i="20" s="1"/>
  <c r="D48" i="10"/>
  <c r="K23" i="27"/>
  <c r="D16" i="24" s="1"/>
  <c r="K22" i="27"/>
  <c r="D15" i="24" s="1"/>
  <c r="F16" i="27"/>
  <c r="H16" i="27"/>
  <c r="K23" i="17"/>
  <c r="C15" i="24" s="1"/>
  <c r="K24" i="17"/>
  <c r="C16" i="24" s="1"/>
  <c r="J23" i="27" l="1"/>
  <c r="J22" i="27"/>
  <c r="F23" i="27"/>
  <c r="F22" i="27"/>
  <c r="H23" i="27"/>
  <c r="H22" i="27"/>
  <c r="I24" i="17" l="1"/>
  <c r="I23" i="17"/>
  <c r="H24" i="24" l="1"/>
  <c r="D58" i="10"/>
  <c r="G31" i="10" l="1"/>
  <c r="D16" i="25"/>
  <c r="H16" i="25" s="1"/>
  <c r="D25" i="10"/>
  <c r="H24" i="25" l="1"/>
  <c r="H23" i="25"/>
  <c r="G21" i="20"/>
  <c r="F16" i="25"/>
  <c r="H24" i="19"/>
  <c r="G24" i="19"/>
  <c r="H23" i="19"/>
  <c r="G23" i="19"/>
  <c r="D17" i="19"/>
  <c r="G24" i="17"/>
  <c r="G23" i="17"/>
  <c r="D16" i="17"/>
  <c r="E24" i="17"/>
  <c r="E23" i="17"/>
  <c r="I26" i="14"/>
  <c r="I25" i="14"/>
  <c r="I23" i="8"/>
  <c r="I22" i="8"/>
  <c r="H20" i="11"/>
  <c r="E15" i="8"/>
  <c r="C17" i="5"/>
  <c r="I17" i="5" s="1"/>
  <c r="L17" i="5" s="1"/>
  <c r="J30" i="12"/>
  <c r="D23" i="10" s="1"/>
  <c r="I30" i="12"/>
  <c r="H29" i="5"/>
  <c r="G29" i="5"/>
  <c r="H26" i="14"/>
  <c r="H25" i="14"/>
  <c r="J19" i="13"/>
  <c r="H19" i="13"/>
  <c r="I19" i="13" s="1"/>
  <c r="K24" i="12"/>
  <c r="E24" i="12"/>
  <c r="K23" i="12"/>
  <c r="E23" i="12"/>
  <c r="D16" i="12"/>
  <c r="J16" i="12" s="1"/>
  <c r="J27" i="13" l="1"/>
  <c r="I27" i="13"/>
  <c r="J24" i="17"/>
  <c r="J23" i="17"/>
  <c r="J26" i="13"/>
  <c r="I26" i="13"/>
  <c r="L16" i="12"/>
  <c r="F24" i="25"/>
  <c r="F23" i="25"/>
  <c r="F16" i="12"/>
  <c r="G16" i="12" s="1"/>
  <c r="F17" i="19" l="1"/>
  <c r="D21" i="20" s="1"/>
  <c r="F23" i="17"/>
  <c r="F24" i="17"/>
  <c r="H23" i="17"/>
  <c r="H24" i="17"/>
  <c r="G23" i="12"/>
  <c r="F24" i="12"/>
  <c r="F23" i="12"/>
  <c r="M16" i="12"/>
  <c r="G24" i="12"/>
  <c r="H28" i="20" l="1"/>
  <c r="H27" i="20"/>
  <c r="L24" i="12"/>
  <c r="L23" i="12"/>
  <c r="F24" i="19"/>
  <c r="F23" i="19"/>
  <c r="M24" i="12"/>
  <c r="M23" i="12"/>
  <c r="J24" i="19" l="1"/>
  <c r="J23" i="19"/>
  <c r="I24" i="19"/>
  <c r="I23" i="19"/>
  <c r="J25" i="5"/>
  <c r="J24" i="5"/>
  <c r="J20" i="11"/>
  <c r="I20" i="11"/>
  <c r="F56" i="10"/>
  <c r="C58" i="10"/>
  <c r="C56" i="10"/>
  <c r="F58" i="10"/>
  <c r="F25" i="10"/>
  <c r="C25" i="10"/>
  <c r="F23" i="10"/>
  <c r="C23" i="10"/>
  <c r="K20" i="11" l="1"/>
  <c r="L20" i="11" s="1"/>
  <c r="G25" i="10"/>
  <c r="C27" i="10"/>
  <c r="C60" i="10"/>
  <c r="G23" i="10"/>
  <c r="G56" i="10"/>
  <c r="G58" i="10"/>
  <c r="D38" i="29" l="1"/>
  <c r="E38" i="29"/>
  <c r="L28" i="11"/>
  <c r="L29" i="11"/>
  <c r="G27" i="10"/>
  <c r="G60" i="10"/>
  <c r="F38" i="29" l="1"/>
  <c r="M17" i="5"/>
  <c r="L24" i="5"/>
  <c r="L25" i="5"/>
  <c r="F43" i="29" l="1"/>
  <c r="D51" i="29" s="1"/>
  <c r="M25" i="5"/>
  <c r="M24" i="5"/>
  <c r="E17" i="5" l="1"/>
  <c r="C23" i="7" l="1"/>
  <c r="C50" i="29" s="1"/>
  <c r="C25" i="7"/>
  <c r="C51" i="29" s="1"/>
  <c r="E51" i="29" s="1"/>
  <c r="D25" i="7" l="1"/>
  <c r="J22" i="8" l="1"/>
  <c r="J23" i="8" l="1"/>
  <c r="D35" i="3" l="1"/>
  <c r="E17" i="19" l="1"/>
  <c r="D22" i="29"/>
  <c r="F22" i="29" s="1"/>
  <c r="F27" i="29" s="1"/>
  <c r="D50" i="29" s="1"/>
  <c r="E50" i="29" s="1"/>
  <c r="E52" i="29" s="1"/>
  <c r="D25" i="5" l="1"/>
  <c r="D24" i="5"/>
  <c r="H35" i="3" l="1"/>
  <c r="J35" i="3" s="1"/>
  <c r="I35" i="3" l="1"/>
  <c r="I41" i="3" s="1"/>
  <c r="J42" i="3"/>
  <c r="C35" i="3" l="1"/>
  <c r="B35" i="3" l="1"/>
  <c r="A35" i="3"/>
  <c r="E24" i="5" l="1"/>
  <c r="J41" i="3"/>
  <c r="E25" i="5"/>
  <c r="I42" i="3"/>
  <c r="F17" i="5"/>
  <c r="F24" i="5" s="1"/>
  <c r="F23" i="7" l="1"/>
  <c r="G23" i="7" s="1"/>
  <c r="F25"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rev4279</author>
    <author>rev3569</author>
    <author>rev3857</author>
    <author>REVT221</author>
    <author>K Reaves</author>
  </authors>
  <commentList>
    <comment ref="H22" authorId="0" shapeId="0" xr:uid="{3E872292-705E-4A7F-B5E7-DB09AB929D7F}">
      <text>
        <r>
          <rPr>
            <sz val="9"/>
            <color indexed="81"/>
            <rFont val="Tahoma"/>
            <family val="2"/>
          </rPr>
          <t>Page 50 of PDF, 10-K</t>
        </r>
      </text>
    </comment>
    <comment ref="I22" authorId="1" shapeId="0" xr:uid="{C3C9B3C8-70C5-4AC4-BF0F-7A50BEFE15ED}">
      <text>
        <r>
          <rPr>
            <b/>
            <sz val="9"/>
            <color indexed="81"/>
            <rFont val="Tahoma"/>
            <family val="2"/>
          </rPr>
          <t>rev4279:</t>
        </r>
        <r>
          <rPr>
            <sz val="9"/>
            <color indexed="81"/>
            <rFont val="Tahoma"/>
            <family val="2"/>
          </rPr>
          <t xml:space="preserve">
PG 50 of PDF, 10-K</t>
        </r>
      </text>
    </comment>
    <comment ref="J22" authorId="0" shapeId="0" xr:uid="{A750052F-CCF9-4840-833A-30C6DDE6186E}">
      <text>
        <r>
          <rPr>
            <sz val="9"/>
            <color indexed="81"/>
            <rFont val="Tahoma"/>
            <family val="2"/>
          </rPr>
          <t>Page 50 of PDF, 10-K
Current Portion of debt obligations PLUS LTD</t>
        </r>
      </text>
    </comment>
    <comment ref="D23" authorId="1" shapeId="0" xr:uid="{E62C95A7-0049-4C23-9C98-909274C51A35}">
      <text>
        <r>
          <rPr>
            <b/>
            <sz val="9"/>
            <color indexed="81"/>
            <rFont val="Tahoma"/>
            <family val="2"/>
          </rPr>
          <t>rev4279:</t>
        </r>
        <r>
          <rPr>
            <sz val="9"/>
            <color indexed="81"/>
            <rFont val="Tahoma"/>
            <family val="2"/>
          </rPr>
          <t xml:space="preserve">
VALUE LINE DOES NOT GIVE A RESULT. RESULTS FROM YAHOO FINANCE</t>
        </r>
      </text>
    </comment>
    <comment ref="E23" authorId="1" shapeId="0" xr:uid="{E5D8CF79-387A-4213-BC8E-7B01ABBC99D9}">
      <text>
        <r>
          <rPr>
            <b/>
            <sz val="9"/>
            <color indexed="81"/>
            <rFont val="Tahoma"/>
            <family val="2"/>
          </rPr>
          <t>rev4279:</t>
        </r>
        <r>
          <rPr>
            <sz val="9"/>
            <color indexed="81"/>
            <rFont val="Tahoma"/>
            <family val="2"/>
          </rPr>
          <t xml:space="preserve">
VALUE LINE DOES NOT GIVE A RESULT. RESULTS FROM YAHOO FINANCE</t>
        </r>
      </text>
    </comment>
    <comment ref="F23" authorId="1" shapeId="0" xr:uid="{7BFDF495-F6B4-4575-B0E8-E80FF0BA8A36}">
      <text>
        <r>
          <rPr>
            <b/>
            <sz val="9"/>
            <color indexed="81"/>
            <rFont val="Tahoma"/>
            <family val="2"/>
          </rPr>
          <t>rev4279:</t>
        </r>
        <r>
          <rPr>
            <sz val="9"/>
            <color indexed="81"/>
            <rFont val="Tahoma"/>
            <family val="2"/>
          </rPr>
          <t xml:space="preserve">
VALUE LINE DOES NOT GIVE A RESULT. RESULTS FROM YAHOO FINANCE</t>
        </r>
      </text>
    </comment>
    <comment ref="G23" authorId="1" shapeId="0" xr:uid="{19740E51-90EA-439C-A6F2-E860223A7999}">
      <text>
        <r>
          <rPr>
            <b/>
            <sz val="9"/>
            <color indexed="81"/>
            <rFont val="Tahoma"/>
            <family val="2"/>
          </rPr>
          <t>rev4279:</t>
        </r>
        <r>
          <rPr>
            <sz val="9"/>
            <color indexed="81"/>
            <rFont val="Tahoma"/>
            <family val="2"/>
          </rPr>
          <t xml:space="preserve">
VALUE LINE DOES NOT GIVE A RESULT. RESULTS FROM YAHOO FINANCE</t>
        </r>
      </text>
    </comment>
    <comment ref="H23" authorId="0" shapeId="0" xr:uid="{1800FD09-FBB3-47DC-92D7-10C3A6C37589}">
      <text>
        <r>
          <rPr>
            <sz val="9"/>
            <color indexed="81"/>
            <rFont val="Tahoma"/>
            <family val="2"/>
          </rPr>
          <t>Page 49 of PDF, 10-K</t>
        </r>
      </text>
    </comment>
    <comment ref="I23" authorId="0" shapeId="0" xr:uid="{C4944005-27B9-47DF-B456-33A3E731DC07}">
      <text>
        <r>
          <rPr>
            <sz val="9"/>
            <color indexed="81"/>
            <rFont val="Tahoma"/>
            <family val="2"/>
          </rPr>
          <t>Page 49 of PDF, 10-K</t>
        </r>
      </text>
    </comment>
    <comment ref="J23" authorId="0" shapeId="0" xr:uid="{5A8F7780-3F5A-4330-8B44-FA578482224A}">
      <text>
        <r>
          <rPr>
            <sz val="9"/>
            <color indexed="81"/>
            <rFont val="Tahoma"/>
            <family val="2"/>
          </rPr>
          <t>Page 91 of PDF, 10-K</t>
        </r>
      </text>
    </comment>
    <comment ref="H24" authorId="0" shapeId="0" xr:uid="{D182F9D2-32B7-48B6-B823-F501186B2CE0}">
      <text>
        <r>
          <rPr>
            <sz val="9"/>
            <color indexed="81"/>
            <rFont val="Tahoma"/>
            <family val="2"/>
          </rPr>
          <t xml:space="preserve">4th Quarter 10Q Page 1 </t>
        </r>
      </text>
    </comment>
    <comment ref="J24" authorId="0" shapeId="0" xr:uid="{245325DF-BEF9-4632-BACD-E8DFD3D5107D}">
      <text>
        <r>
          <rPr>
            <sz val="9"/>
            <color indexed="81"/>
            <rFont val="Tahoma"/>
            <family val="2"/>
          </rPr>
          <t>4th Quarter 10Q pg 4
Current portion of LTD plus LTD, less current portion</t>
        </r>
      </text>
    </comment>
    <comment ref="H25" authorId="0" shapeId="0" xr:uid="{2D2F1BD6-691F-4E74-9A1D-ED8A3CE590A9}">
      <text>
        <r>
          <rPr>
            <sz val="9"/>
            <color indexed="81"/>
            <rFont val="Tahoma"/>
            <family val="2"/>
          </rPr>
          <t>Page 61 of PDF, 10-K
Class A common stock plus class B minus Treasury stock</t>
        </r>
      </text>
    </comment>
    <comment ref="I25" authorId="0" shapeId="0" xr:uid="{61DA8053-08B8-40B0-A267-6E56BA02F03E}">
      <text>
        <r>
          <rPr>
            <sz val="9"/>
            <color indexed="81"/>
            <rFont val="Tahoma"/>
            <family val="2"/>
          </rPr>
          <t>Page 94 of PDF, 10-K</t>
        </r>
      </text>
    </comment>
    <comment ref="J25" authorId="0" shapeId="0" xr:uid="{5AC3FB79-4D05-4BE2-A8EE-4C476959A386}">
      <text>
        <r>
          <rPr>
            <sz val="9"/>
            <color indexed="81"/>
            <rFont val="Tahoma"/>
            <family val="2"/>
          </rPr>
          <t>Page 61 of PDF, 10-K
Current Maturities of LTD plus LTD</t>
        </r>
      </text>
    </comment>
    <comment ref="F31" authorId="2" shapeId="0" xr:uid="{CEF678F7-6580-4CF3-AC8E-A803AFF27478}">
      <text>
        <r>
          <rPr>
            <b/>
            <sz val="11"/>
            <color indexed="81"/>
            <rFont val="Tahoma"/>
            <family val="2"/>
          </rPr>
          <t>rev3569:</t>
        </r>
        <r>
          <rPr>
            <sz val="11"/>
            <color indexed="81"/>
            <rFont val="Tahoma"/>
            <family val="2"/>
          </rPr>
          <t xml:space="preserve">
identify present value in 10K</t>
        </r>
      </text>
    </comment>
    <comment ref="G35" authorId="3" shapeId="0" xr:uid="{9FD7B0DB-9FA8-4F4A-BD8D-DE4004D3B4A9}">
      <text>
        <r>
          <rPr>
            <sz val="9"/>
            <color indexed="81"/>
            <rFont val="Tahoma"/>
            <family val="2"/>
          </rPr>
          <t>Page 67 of PDF, 10-K
amount 1,464.9 at top of pg 67
48.3 LESS than carrying value, so, 1464.9 - 48.3</t>
        </r>
      </text>
    </comment>
    <comment ref="G36" authorId="4" shapeId="0" xr:uid="{2B0B5157-E0F9-4F04-A7E4-617710226D0B}">
      <text>
        <r>
          <rPr>
            <sz val="9"/>
            <color indexed="81"/>
            <rFont val="Tahoma"/>
            <family val="2"/>
          </rPr>
          <t>Page 73 of PDF, 10-K
Note 13 Financial Instruments 2022 Total Fair Value Divided by 2022 Total Carrying Value</t>
        </r>
      </text>
    </comment>
    <comment ref="G37" authorId="4" shapeId="0" xr:uid="{EDC594DE-6A07-439E-985B-0290E9ED3E02}">
      <text>
        <r>
          <rPr>
            <sz val="9"/>
            <color indexed="81"/>
            <rFont val="Tahoma"/>
            <family val="2"/>
          </rPr>
          <t>10Q Pg 14 Carrying value $19.7 billion at 11/30/22 and FV $17.1 billion at 11/3/22</t>
        </r>
      </text>
    </comment>
    <comment ref="G38" authorId="4" shapeId="0" xr:uid="{9125602C-B0B1-4328-A046-60ABBB230DEB}">
      <text>
        <r>
          <rPr>
            <sz val="9"/>
            <color indexed="81"/>
            <rFont val="Tahoma"/>
            <family val="2"/>
          </rPr>
          <t>Fair Value: Page 100 of PDF, 10-K
Carrying Value: Page 96 of PDF, 10-K</t>
        </r>
      </text>
    </comment>
    <comment ref="D60" authorId="5" shapeId="0" xr:uid="{3B252108-C0DD-4AF8-9DAE-6FA717207819}">
      <text>
        <r>
          <rPr>
            <sz val="9"/>
            <color indexed="81"/>
            <rFont val="Tahoma"/>
            <family val="2"/>
          </rPr>
          <t>Page 32 of PDF, 10-K
Aircraft Leasing and related services</t>
        </r>
      </text>
    </comment>
    <comment ref="F60" authorId="5" shapeId="0" xr:uid="{AE62A510-8B3E-4547-99AD-C40170BFCEDB}">
      <text>
        <r>
          <rPr>
            <sz val="9"/>
            <color indexed="81"/>
            <rFont val="Tahoma"/>
            <family val="2"/>
          </rPr>
          <t>Page 51 of PDF, 10-K
Operating Lease assets</t>
        </r>
      </text>
    </comment>
    <comment ref="G60" authorId="5" shapeId="0" xr:uid="{140FBC9F-CBB3-4B21-AAB3-BB1E9D63FD37}">
      <text>
        <r>
          <rPr>
            <sz val="9"/>
            <color indexed="81"/>
            <rFont val="Tahoma"/>
            <family val="2"/>
          </rPr>
          <t>Page 51 of PDF, 10-K
Current portion of debt obligations plus long term lease obligations</t>
        </r>
      </text>
    </comment>
    <comment ref="D61" authorId="5" shapeId="0" xr:uid="{8DDD02F3-87D7-4FD0-BB92-3572152A577F}">
      <text>
        <r>
          <rPr>
            <b/>
            <sz val="9"/>
            <color indexed="81"/>
            <rFont val="Tahoma"/>
            <family val="2"/>
          </rPr>
          <t>K Reaves:</t>
        </r>
        <r>
          <rPr>
            <sz val="9"/>
            <color indexed="81"/>
            <rFont val="Tahoma"/>
            <family val="2"/>
          </rPr>
          <t xml:space="preserve">
Page 60 of PDF, 10-K (based on where last year's figures were obtained)</t>
        </r>
      </text>
    </comment>
    <comment ref="F61" authorId="5" shapeId="0" xr:uid="{3B9B8468-BD6D-4C23-955A-D59925697FF7}">
      <text>
        <r>
          <rPr>
            <sz val="9"/>
            <color indexed="81"/>
            <rFont val="Tahoma"/>
            <family val="2"/>
          </rPr>
          <t>Page 59 of PDF, 10-K</t>
        </r>
      </text>
    </comment>
    <comment ref="G61" authorId="5" shapeId="0" xr:uid="{F1FA9318-3D00-47B0-8C06-7BA96C10320E}">
      <text>
        <r>
          <rPr>
            <sz val="9"/>
            <color indexed="81"/>
            <rFont val="Tahoma"/>
            <family val="2"/>
          </rPr>
          <t>Page 49 of PDF, 10-K</t>
        </r>
      </text>
    </comment>
    <comment ref="D62" authorId="5" shapeId="0" xr:uid="{D1D3E779-8F7E-4AE7-A250-459EA2E97551}">
      <text>
        <r>
          <rPr>
            <sz val="9"/>
            <color indexed="81"/>
            <rFont val="Tahoma"/>
            <family val="2"/>
          </rPr>
          <t>Page 4 10-Q Operating Lease Liabilities</t>
        </r>
      </text>
    </comment>
    <comment ref="F62" authorId="5" shapeId="0" xr:uid="{DEA80B17-ABA5-4367-B541-0D71F71EF1F3}">
      <text>
        <r>
          <rPr>
            <sz val="9"/>
            <color indexed="81"/>
            <rFont val="Tahoma"/>
            <family val="2"/>
          </rPr>
          <t>Page 3 of PDF, 10-Q</t>
        </r>
      </text>
    </comment>
    <comment ref="G62" authorId="5" shapeId="0" xr:uid="{D9C4A205-8AB5-4E41-932D-27EEF00655FA}">
      <text>
        <r>
          <rPr>
            <sz val="9"/>
            <color indexed="81"/>
            <rFont val="Tahoma"/>
            <family val="2"/>
          </rPr>
          <t>Page 18 of PDF, 10-Q
Present value of lease liability totoal operating leases column</t>
        </r>
      </text>
    </comment>
    <comment ref="F63" authorId="5" shapeId="0" xr:uid="{85C4A57B-2010-4A3B-A7C7-458971F97DC6}">
      <text>
        <r>
          <rPr>
            <sz val="9"/>
            <color indexed="81"/>
            <rFont val="Tahoma"/>
            <family val="2"/>
          </rPr>
          <t>Page 104 of PDF, 10-K</t>
        </r>
      </text>
    </comment>
    <comment ref="G63" authorId="5" shapeId="0" xr:uid="{43B9A33A-9047-4B82-9069-7495205CABA4}">
      <text>
        <r>
          <rPr>
            <sz val="9"/>
            <color indexed="81"/>
            <rFont val="Tahoma"/>
            <family val="2"/>
          </rPr>
          <t>Page 104 of PDF,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rev3569</author>
    <author>Baker, Mike A (DOR)</author>
  </authors>
  <commentList>
    <comment ref="E25" authorId="0" shapeId="0" xr:uid="{5B1D4A8E-8BDB-43A6-ACFB-A6BE61989E9C}">
      <text>
        <r>
          <rPr>
            <b/>
            <sz val="9"/>
            <color indexed="81"/>
            <rFont val="Tahoma"/>
            <family val="2"/>
          </rPr>
          <t>rev3569:</t>
        </r>
        <r>
          <rPr>
            <sz val="9"/>
            <color indexed="81"/>
            <rFont val="Tahoma"/>
            <family val="2"/>
          </rPr>
          <t xml:space="preserve">
10K PDF Balance Sheet page 63 </t>
        </r>
      </text>
    </comment>
    <comment ref="E26" authorId="1" shapeId="0" xr:uid="{FA7B8A1A-ACB9-4BC9-8D87-C792654396BD}">
      <text>
        <r>
          <rPr>
            <b/>
            <sz val="9"/>
            <color indexed="81"/>
            <rFont val="Tahoma"/>
            <family val="2"/>
          </rPr>
          <t>Baker, Mike A (DOR):</t>
        </r>
        <r>
          <rPr>
            <sz val="9"/>
            <color indexed="81"/>
            <rFont val="Tahoma"/>
            <family val="2"/>
          </rPr>
          <t xml:space="preserve">
See 10K page 45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rev4279</author>
    <author>Baker, Mike A (DOR)</author>
  </authors>
  <commentList>
    <comment ref="D20" authorId="0" shapeId="0" xr:uid="{220AD228-E997-4569-916F-69070DF768F2}">
      <text>
        <r>
          <rPr>
            <b/>
            <sz val="9"/>
            <color indexed="81"/>
            <rFont val="Tahoma"/>
            <family val="2"/>
          </rPr>
          <t>rev4279:</t>
        </r>
        <r>
          <rPr>
            <sz val="9"/>
            <color indexed="81"/>
            <rFont val="Tahoma"/>
            <family val="2"/>
          </rPr>
          <t xml:space="preserve">
10K pg 67</t>
        </r>
      </text>
    </comment>
    <comment ref="E20" authorId="0" shapeId="0" xr:uid="{23DEC6F3-7776-49AC-8A3D-EC63266DDE3C}">
      <text>
        <r>
          <rPr>
            <b/>
            <sz val="9"/>
            <color indexed="81"/>
            <rFont val="Tahoma"/>
            <family val="2"/>
          </rPr>
          <t>rev4279:</t>
        </r>
        <r>
          <rPr>
            <sz val="9"/>
            <color indexed="81"/>
            <rFont val="Tahoma"/>
            <family val="2"/>
          </rPr>
          <t xml:space="preserve">
10K pg 67</t>
        </r>
      </text>
    </comment>
    <comment ref="D21" authorId="0" shapeId="0" xr:uid="{A4977C29-9AA1-4DE3-9D3F-0FBF572B312C}">
      <text>
        <r>
          <rPr>
            <b/>
            <sz val="9"/>
            <color indexed="81"/>
            <rFont val="Tahoma"/>
            <family val="2"/>
          </rPr>
          <t>rev4279:</t>
        </r>
        <r>
          <rPr>
            <sz val="9"/>
            <color indexed="81"/>
            <rFont val="Tahoma"/>
            <family val="2"/>
          </rPr>
          <t xml:space="preserve">
10K pg 49</t>
        </r>
      </text>
    </comment>
    <comment ref="E21" authorId="0" shapeId="0" xr:uid="{F7BCC6B1-9C3F-4F39-A503-203B40A50C73}">
      <text>
        <r>
          <rPr>
            <b/>
            <sz val="9"/>
            <color indexed="81"/>
            <rFont val="Tahoma"/>
            <family val="2"/>
          </rPr>
          <t>rev4279:</t>
        </r>
        <r>
          <rPr>
            <sz val="9"/>
            <color indexed="81"/>
            <rFont val="Tahoma"/>
            <family val="2"/>
          </rPr>
          <t xml:space="preserve">
10K pg 49</t>
        </r>
      </text>
    </comment>
    <comment ref="D22" authorId="0" shapeId="0" xr:uid="{54A24C91-C59A-48C9-9A1F-A3E5604FEC40}">
      <text>
        <r>
          <rPr>
            <b/>
            <sz val="9"/>
            <color indexed="81"/>
            <rFont val="Tahoma"/>
            <family val="2"/>
          </rPr>
          <t>rev4279:</t>
        </r>
        <r>
          <rPr>
            <sz val="9"/>
            <color indexed="81"/>
            <rFont val="Tahoma"/>
            <family val="2"/>
          </rPr>
          <t xml:space="preserve">
10K pg 3</t>
        </r>
      </text>
    </comment>
    <comment ref="E22" authorId="0" shapeId="0" xr:uid="{1F535BCB-0EE5-4460-B305-E8F6A4E480D4}">
      <text>
        <r>
          <rPr>
            <b/>
            <sz val="9"/>
            <color indexed="81"/>
            <rFont val="Tahoma"/>
            <family val="2"/>
          </rPr>
          <t>rev4279:</t>
        </r>
        <r>
          <rPr>
            <sz val="9"/>
            <color indexed="81"/>
            <rFont val="Tahoma"/>
            <family val="2"/>
          </rPr>
          <t xml:space="preserve">
10K pg 3</t>
        </r>
      </text>
    </comment>
    <comment ref="G22" authorId="1" shapeId="0" xr:uid="{437B61E8-6F15-4600-9C5A-BA64E43194CF}">
      <text>
        <r>
          <rPr>
            <b/>
            <sz val="9"/>
            <color indexed="81"/>
            <rFont val="Tahoma"/>
            <family val="2"/>
          </rPr>
          <t>Baker, Mike A (DOR):</t>
        </r>
        <r>
          <rPr>
            <sz val="9"/>
            <color indexed="81"/>
            <rFont val="Tahoma"/>
            <family val="2"/>
          </rPr>
          <t xml:space="preserve">
See FY22-23 Quarterly Statements  4 Qtrs  
+1046+1024+1018+986</t>
        </r>
      </text>
    </comment>
    <comment ref="D23" authorId="0" shapeId="0" xr:uid="{00BC8E62-C5E0-4E5C-BDE2-1A87ADE7899D}">
      <text>
        <r>
          <rPr>
            <b/>
            <sz val="9"/>
            <color indexed="81"/>
            <rFont val="Tahoma"/>
            <family val="2"/>
          </rPr>
          <t>rev4279:</t>
        </r>
        <r>
          <rPr>
            <sz val="9"/>
            <color indexed="81"/>
            <rFont val="Tahoma"/>
            <family val="2"/>
          </rPr>
          <t xml:space="preserve">
10K pg 76</t>
        </r>
      </text>
    </comment>
    <comment ref="E23" authorId="0" shapeId="0" xr:uid="{E58FC50E-868E-4E84-A0DA-879C4C478EB9}">
      <text>
        <r>
          <rPr>
            <b/>
            <sz val="9"/>
            <color indexed="81"/>
            <rFont val="Tahoma"/>
            <family val="2"/>
          </rPr>
          <t>rev4279:</t>
        </r>
        <r>
          <rPr>
            <sz val="9"/>
            <color indexed="81"/>
            <rFont val="Tahoma"/>
            <family val="2"/>
          </rPr>
          <t xml:space="preserve">
10K pg 76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rev3569</author>
  </authors>
  <commentList>
    <comment ref="H21" authorId="0" shapeId="0" xr:uid="{82FD3C56-A5D8-4FCE-AD2E-680C13BF53E0}">
      <text>
        <r>
          <rPr>
            <b/>
            <sz val="9"/>
            <color indexed="81"/>
            <rFont val="Tahoma"/>
            <family val="2"/>
          </rPr>
          <t>rev3569:</t>
        </r>
        <r>
          <rPr>
            <sz val="9"/>
            <color indexed="81"/>
            <rFont val="Tahoma"/>
            <family val="2"/>
          </rPr>
          <t xml:space="preserve">
last year VL page Beta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C21" authorId="0" shapeId="0" xr:uid="{B250E2E9-FAB5-4006-80D3-5B18B764AE59}">
      <text>
        <r>
          <rPr>
            <b/>
            <sz val="9"/>
            <color indexed="81"/>
            <rFont val="Tahoma"/>
            <family val="2"/>
          </rPr>
          <t>Baker, Mike A (DOR):</t>
        </r>
        <r>
          <rPr>
            <sz val="9"/>
            <color indexed="81"/>
            <rFont val="Tahoma"/>
            <family val="2"/>
          </rPr>
          <t xml:space="preserve">
Four qtrs of data 127+142+158+163
ending Nov 30 2022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Baker, Mike A (DOR)</author>
  </authors>
  <commentList>
    <comment ref="H15" authorId="0" shapeId="0" xr:uid="{844DB192-277D-4947-AA89-CFA76F8B92E9}">
      <text>
        <r>
          <rPr>
            <b/>
            <sz val="9"/>
            <color indexed="81"/>
            <rFont val="Tahoma"/>
            <family val="2"/>
          </rPr>
          <t>Baker, Mike A (DOR):</t>
        </r>
        <r>
          <rPr>
            <sz val="9"/>
            <color indexed="81"/>
            <rFont val="Tahoma"/>
            <family val="2"/>
          </rPr>
          <t xml:space="preserve">
See Montana study</t>
        </r>
      </text>
    </comment>
    <comment ref="F16" authorId="0" shapeId="0" xr:uid="{E9E6103C-80F5-43BB-B080-223B9257234C}">
      <text>
        <r>
          <rPr>
            <b/>
            <sz val="9"/>
            <color indexed="81"/>
            <rFont val="Tahoma"/>
            <family val="2"/>
          </rPr>
          <t>Baker, Mike A (DOR):</t>
        </r>
        <r>
          <rPr>
            <sz val="9"/>
            <color indexed="81"/>
            <rFont val="Tahoma"/>
            <family val="2"/>
          </rPr>
          <t xml:space="preserve">
Obtain from Fitch See internet.  Also see Rand Parent, LLC who is the parent of Atlas Air</t>
        </r>
      </text>
    </comment>
    <comment ref="H16" authorId="0" shapeId="0" xr:uid="{63AC5575-FCCA-437C-9532-D2740EE247F7}">
      <text>
        <r>
          <rPr>
            <b/>
            <sz val="9"/>
            <color indexed="81"/>
            <rFont val="Tahoma"/>
            <family val="2"/>
          </rPr>
          <t>Baker, Mike A (DOR):See Colorado study</t>
        </r>
      </text>
    </comment>
  </commentList>
</comments>
</file>

<file path=xl/sharedStrings.xml><?xml version="1.0" encoding="utf-8"?>
<sst xmlns="http://schemas.openxmlformats.org/spreadsheetml/2006/main" count="1611" uniqueCount="499">
  <si>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</si>
  <si>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</si>
  <si>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</si>
  <si>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</si>
  <si>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</si>
  <si>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</si>
  <si>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</si>
  <si>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</si>
  <si>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</si>
  <si>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</si>
  <si>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</si>
  <si>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</si>
  <si>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</si>
  <si>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</si>
  <si>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</si>
  <si>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</si>
  <si>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</si>
  <si>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</si>
  <si>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</si>
  <si>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</si>
  <si>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</si>
  <si>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</si>
  <si>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</si>
  <si>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</si>
  <si>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</si>
  <si>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</si>
  <si>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</si>
  <si>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</si>
  <si>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</si>
  <si>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</si>
  <si>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</si>
  <si>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</si>
  <si>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</si>
  <si>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</si>
  <si>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</si>
  <si>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</si>
  <si>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</si>
  <si>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</si>
  <si>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</si>
  <si>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</si>
  <si>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</si>
  <si>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</si>
  <si>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</si>
  <si>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t>
  </si>
  <si>
    <t xml:space="preserve">  </t>
  </si>
  <si>
    <t>High</t>
  </si>
  <si>
    <t>Low</t>
  </si>
  <si>
    <t>Mergent Bond</t>
  </si>
  <si>
    <t>Rating</t>
  </si>
  <si>
    <t>Debt Rate</t>
  </si>
  <si>
    <t>S &amp; P</t>
  </si>
  <si>
    <t>% LT Debt &amp; Pref Stock</t>
  </si>
  <si>
    <t>Baa1</t>
  </si>
  <si>
    <t>Baa2</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</si>
  <si>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</si>
  <si>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</si>
  <si>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</si>
  <si>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</si>
  <si>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</si>
  <si>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</si>
  <si>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</si>
  <si>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</si>
  <si>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</si>
  <si>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</si>
  <si>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</si>
  <si>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</si>
  <si>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</si>
  <si>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</si>
  <si>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</si>
  <si>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</si>
  <si>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</si>
  <si>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</si>
  <si>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</si>
  <si>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</si>
  <si>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</si>
  <si>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</si>
  <si>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</si>
  <si>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</si>
  <si>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</si>
  <si>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</si>
  <si>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</si>
  <si>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</si>
  <si>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</si>
  <si>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</si>
  <si>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</si>
  <si>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</si>
  <si>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</si>
  <si>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</si>
  <si>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</si>
  <si>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</si>
  <si>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</si>
  <si>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</si>
  <si>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</si>
  <si>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</si>
  <si>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</si>
  <si>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</si>
  <si>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</si>
  <si>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</si>
  <si>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</si>
  <si>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</si>
  <si>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</si>
  <si>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</si>
  <si>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</si>
  <si>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</si>
  <si>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</si>
  <si>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</si>
  <si>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</si>
  <si>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</si>
  <si>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</si>
  <si>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</si>
  <si>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</si>
  <si>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</si>
  <si>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</si>
  <si>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</si>
  <si>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</si>
  <si>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</si>
  <si>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</si>
  <si>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</si>
  <si>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</si>
  <si>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</si>
  <si>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</si>
  <si>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</si>
  <si>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</si>
  <si>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</si>
  <si>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</si>
  <si>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</si>
  <si>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</si>
  <si>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</si>
  <si>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</si>
  <si>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</si>
  <si>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</si>
  <si>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</si>
  <si>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</si>
  <si>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</si>
  <si>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</si>
  <si>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</si>
  <si>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</si>
  <si>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</si>
  <si>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</si>
  <si>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</si>
  <si>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</si>
  <si>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</si>
  <si>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</si>
  <si>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</si>
  <si>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</si>
  <si>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</si>
  <si>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</si>
  <si>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</si>
  <si>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</si>
  <si>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</si>
  <si>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</si>
  <si>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</si>
  <si>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</si>
  <si>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</si>
  <si>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</si>
  <si>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</si>
  <si>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</si>
  <si>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</si>
  <si>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</si>
  <si>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</si>
  <si>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</si>
  <si>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</si>
  <si>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</si>
  <si>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</si>
  <si>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</si>
  <si>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</si>
  <si>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</si>
  <si>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</si>
  <si>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</si>
  <si>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</si>
  <si>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</si>
  <si>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</si>
  <si>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</si>
  <si>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</si>
  <si>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</si>
  <si>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</si>
  <si>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</si>
  <si>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</si>
  <si>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</si>
  <si>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</si>
  <si>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</si>
  <si>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</si>
  <si>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</si>
  <si>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</si>
  <si>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</si>
  <si>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</si>
  <si>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</si>
  <si>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</si>
  <si>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</si>
  <si>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</si>
  <si>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</si>
  <si>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</si>
  <si>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</si>
  <si>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</si>
  <si>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</si>
  <si>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</si>
  <si>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</si>
  <si>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</si>
  <si>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</si>
  <si>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</si>
  <si>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</si>
  <si>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</si>
  <si>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</si>
  <si>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</si>
  <si>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</si>
  <si>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</si>
  <si>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</si>
  <si>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</si>
  <si>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</si>
  <si>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</si>
  <si>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</si>
  <si>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</si>
  <si>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</si>
  <si>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</si>
  <si>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</si>
  <si>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</si>
  <si>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</si>
  <si>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</si>
  <si>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</si>
  <si>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</si>
  <si>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</si>
  <si>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</si>
  <si>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</si>
  <si>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</si>
  <si>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</si>
  <si>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</si>
  <si>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</si>
  <si>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</si>
  <si>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</si>
  <si>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</si>
  <si>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</si>
  <si>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</si>
  <si>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</si>
  <si>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</si>
  <si>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</si>
  <si>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</si>
  <si>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</si>
  <si>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</si>
  <si>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</si>
  <si>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</si>
  <si>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</si>
  <si>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</si>
  <si>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</si>
  <si>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</si>
  <si>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</si>
  <si>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r>
      <t xml:space="preserve">NOPAT CASH FLOW MULTIPLE &amp; EQUITY RATE </t>
    </r>
    <r>
      <rPr>
        <b/>
        <sz val="12"/>
        <color theme="1"/>
        <rFont val="Microsoft GothicNeo"/>
        <family val="2"/>
        <charset val="129"/>
      </rPr>
      <t>(LT 25-27 Yr Projected VL)</t>
    </r>
  </si>
  <si>
    <t>VL LT Projected NOI</t>
  </si>
  <si>
    <t>Indicated Rate of Debt &gt;</t>
  </si>
  <si>
    <t>Year End</t>
  </si>
  <si>
    <t>&amp; Finance Leases</t>
  </si>
  <si>
    <t>10K Income Statement</t>
  </si>
  <si>
    <t>10K Balance Sheet</t>
  </si>
  <si>
    <t>Indicated Rate of Equity Selected &gt;</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</si>
  <si>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</si>
  <si>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</si>
  <si>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</si>
  <si>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</si>
  <si>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</si>
  <si>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</si>
  <si>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</si>
  <si>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</si>
  <si>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</si>
  <si>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</si>
  <si>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</si>
  <si>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</si>
  <si>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</si>
  <si>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</si>
  <si>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</si>
  <si>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</si>
  <si>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</si>
  <si>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</si>
  <si>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</si>
  <si>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</si>
  <si>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</si>
  <si>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</si>
  <si>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*Cornell, B. &amp; Gerger, R. (2017) Estimating Terminal Values with Inflation : The Inputs Matter - It is Not a Formulaic Exercise.  Business Valuation Review, Vol.36, Number 4, 117-123.</t>
  </si>
  <si>
    <t>C1  C2  C3</t>
  </si>
  <si>
    <t>MEDIAN GROWTH RATES</t>
  </si>
  <si>
    <t>SOURCE &gt;</t>
  </si>
  <si>
    <t>SOURCES &gt;</t>
  </si>
  <si>
    <t>Vl Projected 2023</t>
  </si>
  <si>
    <t>1 Yr Projected</t>
  </si>
  <si>
    <t>3-5 Yr Projected</t>
  </si>
  <si>
    <t>Short Term</t>
  </si>
  <si>
    <t>(1)</t>
  </si>
  <si>
    <t>(1)    4 Year compound annual growth rate (CAGR)  - 3 periods</t>
  </si>
  <si>
    <t>Earnings Data</t>
  </si>
  <si>
    <r>
      <t xml:space="preserve">KY DOR                    Earnings Growth Rate                 </t>
    </r>
    <r>
      <rPr>
        <b/>
        <sz val="9"/>
        <color theme="1"/>
        <rFont val="Microsoft GothicNeo"/>
        <family val="2"/>
        <charset val="129"/>
      </rPr>
      <t xml:space="preserve"> (Median / Average)</t>
    </r>
  </si>
  <si>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</si>
  <si>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</si>
  <si>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</si>
  <si>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</si>
  <si>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</si>
  <si>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</si>
  <si>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</si>
  <si>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</si>
  <si>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</si>
  <si>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</si>
  <si>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</si>
  <si>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</si>
  <si>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</si>
  <si>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</si>
  <si>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</si>
  <si>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</si>
  <si>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</si>
  <si>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</si>
  <si>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</si>
  <si>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</si>
  <si>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</si>
  <si>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</si>
  <si>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</si>
  <si>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</si>
  <si>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</si>
  <si>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</si>
  <si>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</si>
  <si>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</si>
  <si>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</si>
  <si>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</si>
  <si>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</si>
  <si>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</si>
  <si>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</si>
  <si>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</si>
  <si>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</si>
  <si>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</si>
  <si>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</si>
  <si>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</si>
  <si>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r>
      <t>K</t>
    </r>
    <r>
      <rPr>
        <b/>
        <sz val="10"/>
        <color theme="1"/>
        <rFont val="Microsoft GothicNeo"/>
        <family val="2"/>
        <charset val="129"/>
      </rPr>
      <t>E</t>
    </r>
    <r>
      <rPr>
        <b/>
        <sz val="16"/>
        <color theme="1"/>
        <rFont val="Microsoft GothicNeo"/>
        <family val="2"/>
        <charset val="129"/>
      </rPr>
      <t xml:space="preserve"> = (DY  X  (1+ .5(G)))  + .67(G1)  +  .33(g)</t>
    </r>
  </si>
  <si>
    <t>G   = Average growth rate</t>
  </si>
  <si>
    <t>G1 = Short term growth estimate</t>
  </si>
  <si>
    <t>DY = Dividend Yield     See ValueLine</t>
  </si>
  <si>
    <t>g   = Stable Growth - Nominal growth rate</t>
  </si>
  <si>
    <t>AA+</t>
  </si>
  <si>
    <t>AAA</t>
  </si>
  <si>
    <t>AA</t>
  </si>
  <si>
    <t>Obligations rated Aa are judged to be of high quality, with minimal risk.</t>
  </si>
  <si>
    <t>AA-</t>
  </si>
  <si>
    <t>BBB+</t>
  </si>
  <si>
    <t>BBB</t>
  </si>
  <si>
    <t>BBB-</t>
  </si>
  <si>
    <t>BB+</t>
  </si>
  <si>
    <t>BB</t>
  </si>
  <si>
    <t>BB-</t>
  </si>
  <si>
    <t>B-</t>
  </si>
  <si>
    <t>CCC+</t>
  </si>
  <si>
    <t>CCC</t>
  </si>
  <si>
    <t>CCC-</t>
  </si>
  <si>
    <t>CC</t>
  </si>
  <si>
    <t>Scale</t>
  </si>
  <si>
    <t>Retained to</t>
  </si>
  <si>
    <t>Shareholders Equity</t>
  </si>
  <si>
    <t>Retained to Common Equity -- Net profit less all common and preferred dividends divided by common equity including intangible assets, expressed as a percentage.  Also known as the plowback ratio.</t>
  </si>
  <si>
    <t>Return on Shareholders Equity -- Annual net profit divided by year-end shareholders equity, expressed as a percentage.</t>
  </si>
  <si>
    <t>Ca1</t>
  </si>
  <si>
    <t>Ca2</t>
  </si>
  <si>
    <t>Ca3</t>
  </si>
  <si>
    <t>CC+</t>
  </si>
  <si>
    <t>CC-</t>
  </si>
  <si>
    <t>AAA-</t>
  </si>
  <si>
    <t>AAA+</t>
  </si>
  <si>
    <t>Aaa1</t>
  </si>
  <si>
    <t>Aaa2</t>
  </si>
  <si>
    <t>Aaa3</t>
  </si>
  <si>
    <t>Share</t>
  </si>
  <si>
    <t>Gross Revenues</t>
  </si>
  <si>
    <t>NOPAT Earnings</t>
  </si>
  <si>
    <t>The purpose of this ratio is to test whether the market price is worth more (or less) than the cost of the assets.</t>
  </si>
  <si>
    <t>If the result is greater than one(1), it indicates the market value exceeds book value and can often be used as a sign of competent management.</t>
  </si>
  <si>
    <t>The higher the return on revenue the higher the price to revenue will be.</t>
  </si>
  <si>
    <t>Cash flow is typically defined to be net income plus depreciation and amortization.</t>
  </si>
  <si>
    <t xml:space="preserve">This measure is considered relevant for companies with high non-cash charges reflected in the income statement.  Non-cash charges include depreciation &amp; amortization, goodwill impairments, asset write downs, </t>
  </si>
  <si>
    <t>stock based compensation, and deferred income taxes and investment tax credits.</t>
  </si>
  <si>
    <t>P/E Ratio - Long Term Projection NOPAT</t>
  </si>
  <si>
    <t>CS+LTD +PS + OL</t>
  </si>
  <si>
    <t>&amp; Op Leases</t>
  </si>
  <si>
    <t>Earnings Growth = DY + EG</t>
  </si>
  <si>
    <t>Dividend Growth = DY + DG</t>
  </si>
  <si>
    <t>EG = Earnings Growth</t>
  </si>
  <si>
    <t>DG = Dividend Growth</t>
  </si>
  <si>
    <t>DY = Dividend Yield</t>
  </si>
  <si>
    <t>G = Projected Growth (Earnings Per Share 5 Yr Growth Rate)</t>
  </si>
  <si>
    <t>G = Projected Growth (Div. 5 Yr Growth Rate)</t>
  </si>
  <si>
    <t>Dec. 31, 2022</t>
  </si>
  <si>
    <t>General Partner Units</t>
  </si>
  <si>
    <t>Gross Book Value Equity</t>
  </si>
  <si>
    <t>GROSS REVENUE &amp; GROSS BOOK (EQUITY) MULTIPLES</t>
  </si>
  <si>
    <t>Multiple *</t>
  </si>
  <si>
    <t>* This multiple is applicable to service type companies, or those with few assets.  These companies sell at prices related to their revenues.</t>
  </si>
  <si>
    <t>** The book value, or common equity, per share is total owners' equity minus preferred stock divided by the number of common shares outstanding.</t>
  </si>
  <si>
    <t xml:space="preserve">Property, Plant &amp; Equipment includes CWIP, but should exclude intangibles and the associated amortization.  </t>
  </si>
  <si>
    <t>Common Total Equity excludes 'noncontrolling interests' equity value.</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</si>
  <si>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</si>
  <si>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</si>
  <si>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</si>
  <si>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1.357 USD to CAD or 0.7369 is CAD to USD Conversion on 12/30/22, https://www.exchange-rates.org/Rate/CAD/USD/12-31-2022</t>
  </si>
  <si>
    <t>Companies added to the study &gt;</t>
  </si>
  <si>
    <t>Per Share **</t>
  </si>
  <si>
    <t>Inflation is the % change in the value of the Wholesale Price Index (WPI) on a year-to-year basis.</t>
  </si>
  <si>
    <t>Federal Reserve Statistical release - Inflation Protected Treasury Indexed Securities - 10 Year  (1)</t>
  </si>
  <si>
    <t xml:space="preserve">Federal Reserve Statistical release - Inflation Protected Treasury Indexed Securities - 20 Year  (1) </t>
  </si>
  <si>
    <t xml:space="preserve">Federal Reserve Statistical release - Inflation Protected Treasury Indexed Securities - 30 Year (1) </t>
  </si>
  <si>
    <t>(3)  Federal Reserve Bank of Philadelphia Survey of Professional Forecasters February 11, 2023 Table 8 and Table 9 Average over next 10-Year mean   See below.</t>
  </si>
  <si>
    <t>spfq123.pdf (philadelphiafed.org)</t>
  </si>
  <si>
    <t>https://www.federalreserve.gov/monetarypolicy/files/fomcprojtabl20221215.pdf</t>
  </si>
  <si>
    <t>5 Yr  Dec 30 2022</t>
  </si>
  <si>
    <t>10 Yr  Dec 30 2022</t>
  </si>
  <si>
    <t>20 Yr  Dec 30 2022</t>
  </si>
  <si>
    <t>30 Yr  Dec 30 2022</t>
  </si>
  <si>
    <t>3.97 - 1.66 = 2.31</t>
  </si>
  <si>
    <t>4.14 - 1.61 = 2.53</t>
  </si>
  <si>
    <t>3.88 - 1.58 = 2.30</t>
  </si>
  <si>
    <t>3.99 - 1.63 = 2.36</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</si>
  <si>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</si>
  <si>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Mergent Rating</t>
  </si>
  <si>
    <t>Air Transport Services Group</t>
  </si>
  <si>
    <t>ATSG</t>
  </si>
  <si>
    <t>Air Trans</t>
  </si>
  <si>
    <t>Atlas Air</t>
  </si>
  <si>
    <t>AAWW</t>
  </si>
  <si>
    <t xml:space="preserve">FedEx Corp </t>
  </si>
  <si>
    <t>FDX</t>
  </si>
  <si>
    <t xml:space="preserve">United Parcel Service </t>
  </si>
  <si>
    <t>UPS</t>
  </si>
  <si>
    <t>Any difference between the lease liability value and lease asset value is prepayments, lease incentives, and/or other direct costs.</t>
  </si>
  <si>
    <t>Maintenance, real estate taxes,insurance and other operating expenses associated with the leases are excluded from the ROU measurement.</t>
  </si>
  <si>
    <t>Op Lease Expense</t>
  </si>
  <si>
    <t>ROU Values Assets</t>
  </si>
  <si>
    <t>ROU Values Liab.</t>
  </si>
  <si>
    <t>Air Freight Carriers</t>
  </si>
  <si>
    <t>na</t>
  </si>
  <si>
    <t>nil</t>
  </si>
  <si>
    <t>Projected 1 Yr</t>
  </si>
  <si>
    <t>Earnings Per Share Growth Rate</t>
  </si>
  <si>
    <t>Estimated 20-22 to 26-28</t>
  </si>
  <si>
    <t>BB BB+</t>
  </si>
  <si>
    <t xml:space="preserve">Risk Free Rate (Rf) </t>
  </si>
  <si>
    <t>Yield Equity Rate - DGM (Dividend Growth) &amp; DGM (Earnings Growth)  -- Gordon Growth</t>
  </si>
  <si>
    <t>Three Stage Ex Ante  Version 1  (1) (2)</t>
  </si>
  <si>
    <t>Three Stage Ex Ante  Version 2   (1) (2)</t>
  </si>
  <si>
    <t>CAPM - Ex Ante, Three Stage - V1</t>
  </si>
  <si>
    <t>CAPM - Ex Ante, Three Stage - V2</t>
  </si>
  <si>
    <t>Empirical CAPM - Ex Ante, Three Stage - V1</t>
  </si>
  <si>
    <t>Empirical CAPM - Ex Ante, Three Stage - V2</t>
  </si>
  <si>
    <t xml:space="preserve">(8) KROLL, Cost of Capital Navigator. (2023). </t>
  </si>
  <si>
    <t>Mean</t>
  </si>
  <si>
    <t>Harmonic Mean</t>
  </si>
  <si>
    <t>A market to book ratio over one would be an indication of no obsolescence.</t>
  </si>
  <si>
    <t xml:space="preserve">S&amp;P Rating </t>
  </si>
  <si>
    <t>Corporate 4th Qtr Avg</t>
  </si>
  <si>
    <t>Utility 4th Qtr Avg</t>
  </si>
  <si>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</si>
  <si>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</si>
  <si>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</si>
  <si>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</si>
  <si>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</si>
  <si>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</si>
  <si>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</si>
  <si>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</si>
  <si>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</si>
  <si>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CAPM - S&amp;P Global Market</t>
  </si>
  <si>
    <t>Empirical CAPM - S&amp;P Global Market</t>
  </si>
  <si>
    <t>Damodaran Implied ERP Ex Ante   Trailing 12 mo Cash Yield (3)</t>
  </si>
  <si>
    <t>Damodaran Implied ERP Ex Ante   Net Cash Yield (3)</t>
  </si>
  <si>
    <t>Damodaran Implied ERP Ex Ante   Norm. Earnings &amp; Payout (3)</t>
  </si>
  <si>
    <t>KROLL Ex Post  - ERP Historical (8)</t>
  </si>
  <si>
    <t>KROLL Ex Post - ERP Supply Side (8)</t>
  </si>
  <si>
    <t>KROLL Ex Ante - ERP Conditional (8)</t>
  </si>
  <si>
    <t>CAPM - Ex Ante KROLL ERP Conditional</t>
  </si>
  <si>
    <t>Empirical CAPM - Ex Ante KROLL ERP Conditional</t>
  </si>
  <si>
    <t>CAPM - Ex Post KROLL ERP Supply Side</t>
  </si>
  <si>
    <t>CAPM - Ex Post KROLL ERP Historical</t>
  </si>
  <si>
    <t>Empirical CAPM - Ex Post KROLL ERP Historical</t>
  </si>
  <si>
    <t>Empirical CAPM - Ex Post KROLL ERP Supply Side</t>
  </si>
  <si>
    <t>CAPM - Ex Ante  Damodaran 12 Mo Cash Yield</t>
  </si>
  <si>
    <t>CAPM - Ex Ante  Damodaran Net Cash Yield</t>
  </si>
  <si>
    <t>CAPM - Ex Ante  Damodaran NEP</t>
  </si>
  <si>
    <t>Empirical CAPM - Ex Ante  Damodaran 12 Mo Cash Yield</t>
  </si>
  <si>
    <t>Empirical CAPM - Ex Ante  Damodaran Net Cash Yield</t>
  </si>
  <si>
    <t>Empirical CAPM - Ex Ante  Damodaran NEP</t>
  </si>
  <si>
    <t xml:space="preserve">(6) &amp; (7) Business Valuation Resources, Cost of Capital Professional. (2023). Historical ERP, using arithmetic &amp; geometric  mean and 20-Year Treasury Securities. </t>
  </si>
  <si>
    <t>Damodaran Implied ERP Ex Ante   Avg CF Yield Last 10 Yrs (3)</t>
  </si>
  <si>
    <t>P. Fernandez, T. Garcia de Santos &amp; J.F.Acin  (5)</t>
  </si>
  <si>
    <t xml:space="preserve">(4) The CFO Survey (2022). Data &amp; Results December 2, 2022. Mean average annual S&amp;P return over next ten years (8.5%) less annual yield on 10-year Treasury Bonds. </t>
  </si>
  <si>
    <t xml:space="preserve">(5) Fernandez, P., Garcia de Santos, T., &amp; Acin, J. F. (2022). Survey: Market Risk Premium and Risk-Free Rate Used for 95 Countries in 2022. 1591 US ERP only respondents.  SSRN Electronic Journal. </t>
  </si>
  <si>
    <t>CAPM - Ex Ante  Damodaran Avg CF Yield Last 10 Yrs</t>
  </si>
  <si>
    <t>Empirical CAPM - Ex Ante  Damodaran Avg CF Yield Last 10 Yrs</t>
  </si>
  <si>
    <t>The market yield on 30 yerar US Treasury  Dec 30, 2022</t>
  </si>
  <si>
    <t xml:space="preserve">Board of Governors of the Federal Reserve System, Economic projections of Federal Reserve Board members and Federal Reserve Bank presidents under their individual assessments of projected appropriate monetary policy. December 2022  </t>
  </si>
  <si>
    <t>https://www.federalreserve.gov/monetarypolicy/files/fomcprojtabl20221214.pdf</t>
  </si>
  <si>
    <t>World Bank Group Flagship Report, Global Economic Prospects. January 2023. Page 4.</t>
  </si>
  <si>
    <t>The Trading Economics projects the U.S. GDP annual growth rate for 2025</t>
  </si>
  <si>
    <t xml:space="preserve">Trading Economics, United States Full Year GDP Growth Rate Forecast  </t>
  </si>
  <si>
    <t xml:space="preserve">The Economist Intelligence Unit. July 21, 2022  </t>
  </si>
  <si>
    <t>http://country.eiu.com/article.aspx?articleid=1652314548&amp;Country=United+States&amp;topic=Economy&amp;subtopic=Long-term+outlook&amp;subsubtopic=Summary</t>
  </si>
  <si>
    <t>To calculate the inflation rate, compare the inflation-indexed securities to the non-inflation indexed securities. The difference between the securities (using the 10-year, 20-year, and 30- year constant securities) provides the inflation rate.</t>
  </si>
  <si>
    <t>Congressional Budget Office  Average % change Yr to Yr  2023-2033  (4)</t>
  </si>
  <si>
    <t>Federal Reserve Bank of Philadelphia  /Survey of Professional Forecasters  Mean (3)</t>
  </si>
  <si>
    <t xml:space="preserve">Congressional Budget Office Real Economic Projections (4)  </t>
  </si>
  <si>
    <t>(4)  Budget Office, The Budget and Economic Outlook: 2023 to 2033, Table 2-1  and 2023 to 2033, Table C-1  See bellow.</t>
  </si>
  <si>
    <t>https://www.cbo.gov/system/files/2021-02/56970-Outlook.p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</si>
</sst>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_(* #,##0.000_);_(* \(#,##0.000\);_(* &quot;-&quot;??_);_(@_)"/>
    <numFmt numFmtId="168" formatCode="0.000%"/>
    <numFmt numFmtId="169" formatCode="0.0000%"/>
  </numFmts>
  <fonts count="72">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6"/>
      <name val="Microsoft GothicNeo"/>
      <family val="2"/>
      <charset val="129"/>
    </font>
    <font>
      <b/>
      <sz val="16"/>
      <color rgb="FFFF0000"/>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i/>
      <sz val="18"/>
      <color rgb="FF0000CC"/>
      <name val="Microsoft GothicNeo"/>
      <family val="2"/>
      <charset val="129"/>
    </font>
    <font>
      <b/>
      <sz val="9"/>
      <color indexed="81"/>
      <name val="Tahoma"/>
      <family val="2"/>
    </font>
    <font>
      <sz val="11"/>
      <name val="Calibri"/>
      <family val="2"/>
      <scheme val="minor"/>
    </font>
    <font>
      <b/>
      <i/>
      <sz val="18"/>
      <name val="Calibri"/>
      <family val="2"/>
      <scheme val="minor"/>
    </font>
    <font>
      <b/>
      <i/>
      <sz val="10"/>
      <color rgb="FF0000CC"/>
      <name val="Microsoft GothicNeo"/>
      <family val="2"/>
      <charset val="129"/>
    </font>
    <font>
      <b/>
      <sz val="12"/>
      <name val="Calibri"/>
      <family val="2"/>
      <scheme val="minor"/>
    </font>
    <font>
      <u/>
      <sz val="11"/>
      <color rgb="FF0000CC"/>
      <name val="Calibri"/>
      <family val="2"/>
      <scheme val="minor"/>
    </font>
    <font>
      <b/>
      <i/>
      <sz val="14"/>
      <color theme="1"/>
      <name val="Calibri"/>
      <family val="2"/>
      <scheme val="minor"/>
    </font>
    <font>
      <b/>
      <sz val="9"/>
      <name val="Microsoft GothicNeo"/>
      <family val="2"/>
      <charset val="129"/>
    </font>
    <font>
      <b/>
      <sz val="11"/>
      <color theme="9" tint="-0.499984740745262"/>
      <name val="Microsoft GothicNeo"/>
      <family val="2"/>
      <charset val="129"/>
    </font>
    <font>
      <b/>
      <sz val="14"/>
      <color theme="9" tint="-0.499984740745262"/>
      <name val="Microsoft GothicNeo"/>
      <family val="2"/>
      <charset val="129"/>
    </font>
    <font>
      <i/>
      <sz val="11"/>
      <color theme="1"/>
      <name val="Microsoft GothicNeo"/>
      <family val="2"/>
      <charset val="129"/>
    </font>
    <font>
      <b/>
      <sz val="18"/>
      <name val="Microsoft GothicNeo"/>
      <family val="2"/>
      <charset val="129"/>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0" fontId="18" fillId="0" borderId="0" applyNumberFormat="0" applyFill="0" applyBorder="0" applyAlignment="0" applyProtection="0"/>
  </cellStyleXfs>
  <cellXfs count="479">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right"/>
    </xf>
    <xf numFmtId="43" fontId="22" fillId="0" borderId="0" xfId="1" applyFont="1" applyAlignment="1">
      <alignment horizontal="right" vertical="center"/>
    </xf>
    <xf numFmtId="43" fontId="22" fillId="0" borderId="0" xfId="1" applyFont="1" applyFill="1" applyAlignment="1">
      <alignment horizontal="right" vertical="center"/>
    </xf>
    <xf numFmtId="43" fontId="21" fillId="0" borderId="0" xfId="1" applyFont="1" applyFill="1" applyAlignment="1">
      <alignment horizontal="right"/>
    </xf>
    <xf numFmtId="43" fontId="21" fillId="0" borderId="0" xfId="1" applyFont="1" applyFill="1" applyAlignment="1">
      <alignment horizontal="center"/>
    </xf>
    <xf numFmtId="43" fontId="21" fillId="0" borderId="0" xfId="1" applyFont="1" applyFill="1" applyAlignment="1">
      <alignment horizontal="center" vertical="center"/>
    </xf>
    <xf numFmtId="43" fontId="21" fillId="0" borderId="0" xfId="1" applyFont="1" applyFill="1" applyBorder="1" applyAlignment="1">
      <alignment horizontal="center" vertical="center"/>
    </xf>
    <xf numFmtId="43" fontId="21" fillId="0" borderId="0" xfId="1" applyFont="1" applyFill="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15" xfId="0" applyFont="1" applyBorder="1"/>
    <xf numFmtId="0" fontId="19" fillId="0" borderId="2" xfId="0" applyFont="1" applyBorder="1"/>
    <xf numFmtId="0" fontId="27" fillId="0" borderId="2" xfId="0" applyFont="1" applyBorder="1"/>
    <xf numFmtId="0" fontId="28" fillId="0" borderId="0" xfId="0" applyFont="1"/>
    <xf numFmtId="0" fontId="24" fillId="0" borderId="0" xfId="0" applyFont="1" applyAlignment="1">
      <alignment horizontal="center"/>
    </xf>
    <xf numFmtId="0" fontId="29" fillId="0" borderId="2" xfId="0" applyFont="1" applyBorder="1" applyAlignment="1">
      <alignment horizontal="center"/>
    </xf>
    <xf numFmtId="0" fontId="30" fillId="0" borderId="2" xfId="0" applyFont="1" applyBorder="1" applyAlignment="1">
      <alignment horizontal="center"/>
    </xf>
    <xf numFmtId="0" fontId="21" fillId="0" borderId="0" xfId="0" applyFont="1" applyAlignment="1">
      <alignment horizontal="center"/>
    </xf>
    <xf numFmtId="0" fontId="29" fillId="0" borderId="0" xfId="0" applyFont="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30" fillId="0" borderId="1" xfId="0" applyFont="1" applyBorder="1" applyAlignment="1">
      <alignment horizontal="center"/>
    </xf>
    <xf numFmtId="0" fontId="32" fillId="0" borderId="1" xfId="0" applyFont="1" applyBorder="1" applyAlignment="1">
      <alignment horizontal="center"/>
    </xf>
    <xf numFmtId="0" fontId="30" fillId="0" borderId="0" xfId="0" applyFont="1" applyAlignment="1">
      <alignment horizontal="center"/>
    </xf>
    <xf numFmtId="0" fontId="33" fillId="0" borderId="2" xfId="0" applyFont="1" applyBorder="1" applyAlignment="1">
      <alignment horizontal="center"/>
    </xf>
    <xf numFmtId="0" fontId="35" fillId="0" borderId="1" xfId="0" applyFont="1" applyBorder="1" applyAlignment="1">
      <alignment horizontal="center"/>
    </xf>
    <xf numFmtId="0" fontId="21" fillId="0" borderId="0" xfId="0" applyFont="1"/>
    <xf numFmtId="166" fontId="22" fillId="0" borderId="0" xfId="1" applyNumberFormat="1" applyFont="1" applyFill="1" applyAlignment="1">
      <alignment horizontal="center"/>
    </xf>
    <xf numFmtId="166" fontId="22" fillId="0" borderId="0" xfId="1" applyNumberFormat="1" applyFont="1" applyFill="1"/>
    <xf numFmtId="0" fontId="21" fillId="0" borderId="4" xfId="0" applyFont="1" applyBorder="1"/>
    <xf numFmtId="0" fontId="22" fillId="0" borderId="0" xfId="0" applyFont="1" applyAlignment="1">
      <alignment horizontal="center" vertical="center"/>
    </xf>
    <xf numFmtId="166" fontId="21" fillId="0" borderId="0" xfId="1" applyNumberFormat="1" applyFont="1" applyFill="1" applyAlignment="1">
      <alignment horizontal="center"/>
    </xf>
    <xf numFmtId="0" fontId="24" fillId="0" borderId="0" xfId="0" applyFont="1" applyAlignment="1">
      <alignment horizontal="right"/>
    </xf>
    <xf numFmtId="10" fontId="21" fillId="0" borderId="0" xfId="2" applyNumberFormat="1" applyFont="1" applyFill="1" applyAlignment="1">
      <alignment horizontal="center" vertical="center"/>
    </xf>
    <xf numFmtId="10" fontId="21" fillId="0" borderId="0" xfId="2" applyNumberFormat="1" applyFont="1" applyFill="1" applyBorder="1" applyAlignment="1">
      <alignment horizontal="center" vertical="center"/>
    </xf>
    <xf numFmtId="10" fontId="22" fillId="0" borderId="0" xfId="2" applyNumberFormat="1" applyFont="1" applyAlignment="1">
      <alignment horizontal="right" vertical="center"/>
    </xf>
    <xf numFmtId="10" fontId="22" fillId="0" borderId="0" xfId="2" applyNumberFormat="1" applyFont="1" applyFill="1" applyAlignment="1">
      <alignment horizontal="right"/>
    </xf>
    <xf numFmtId="10" fontId="21" fillId="0" borderId="0" xfId="2" applyNumberFormat="1" applyFont="1" applyFill="1" applyAlignment="1">
      <alignment horizontal="right"/>
    </xf>
    <xf numFmtId="10" fontId="21" fillId="0" borderId="0" xfId="2" applyNumberFormat="1" applyFont="1" applyFill="1" applyAlignment="1">
      <alignment horizontal="center"/>
    </xf>
    <xf numFmtId="10" fontId="21" fillId="0" borderId="0" xfId="2" applyNumberFormat="1" applyFont="1" applyFill="1"/>
    <xf numFmtId="0" fontId="19" fillId="2" borderId="19" xfId="0" applyFont="1" applyFill="1" applyBorder="1" applyAlignment="1">
      <alignment horizontal="center"/>
    </xf>
    <xf numFmtId="0" fontId="19" fillId="2" borderId="21" xfId="0" applyFont="1" applyFill="1" applyBorder="1" applyAlignment="1">
      <alignment horizontal="center"/>
    </xf>
    <xf numFmtId="2" fontId="38" fillId="0" borderId="0" xfId="0" applyNumberFormat="1" applyFont="1" applyAlignment="1">
      <alignment horizontal="center"/>
    </xf>
    <xf numFmtId="164" fontId="38" fillId="0" borderId="0" xfId="1" applyNumberFormat="1" applyFont="1" applyAlignment="1"/>
    <xf numFmtId="2" fontId="22" fillId="0" borderId="0" xfId="0" applyNumberFormat="1" applyFont="1" applyAlignment="1">
      <alignment horizontal="center"/>
    </xf>
    <xf numFmtId="0" fontId="34" fillId="0" borderId="0" xfId="0" applyFont="1"/>
    <xf numFmtId="43" fontId="24" fillId="0" borderId="0" xfId="1" applyFont="1" applyFill="1"/>
    <xf numFmtId="2" fontId="38" fillId="0" borderId="4" xfId="0" applyNumberFormat="1" applyFont="1" applyBorder="1" applyAlignment="1">
      <alignment horizontal="center"/>
    </xf>
    <xf numFmtId="10" fontId="22" fillId="0" borderId="0" xfId="2" applyNumberFormat="1" applyFont="1" applyFill="1" applyAlignment="1">
      <alignment horizontal="center"/>
    </xf>
    <xf numFmtId="0" fontId="19" fillId="0" borderId="2" xfId="0" applyFont="1" applyBorder="1" applyAlignment="1">
      <alignment horizontal="center"/>
    </xf>
    <xf numFmtId="0" fontId="31" fillId="0" borderId="16" xfId="0" applyFont="1" applyBorder="1" applyAlignment="1">
      <alignment horizontal="center"/>
    </xf>
    <xf numFmtId="0" fontId="24" fillId="0" borderId="0" xfId="0" applyFont="1" applyAlignment="1">
      <alignment horizontal="center" vertical="center"/>
    </xf>
    <xf numFmtId="0" fontId="19" fillId="0" borderId="4" xfId="0" applyFont="1" applyBorder="1"/>
    <xf numFmtId="2" fontId="21" fillId="0" borderId="0" xfId="0" applyNumberFormat="1" applyFont="1" applyAlignment="1">
      <alignment horizontal="right"/>
    </xf>
    <xf numFmtId="10" fontId="21" fillId="0" borderId="0" xfId="0" applyNumberFormat="1" applyFont="1"/>
    <xf numFmtId="0" fontId="39" fillId="0" borderId="0" xfId="0" applyFont="1" applyAlignment="1">
      <alignment horizontal="center"/>
    </xf>
    <xf numFmtId="0" fontId="40" fillId="0" borderId="0" xfId="0" applyFont="1"/>
    <xf numFmtId="0" fontId="41" fillId="0" borderId="16" xfId="0" applyFont="1" applyBorder="1" applyAlignment="1">
      <alignment horizontal="center"/>
    </xf>
    <xf numFmtId="0" fontId="36" fillId="0" borderId="0" xfId="0" applyFont="1" applyAlignment="1">
      <alignment horizontal="right"/>
    </xf>
    <xf numFmtId="0" fontId="28" fillId="0" borderId="0" xfId="0" applyFont="1" applyAlignment="1">
      <alignment horizontal="center"/>
    </xf>
    <xf numFmtId="0" fontId="21" fillId="0" borderId="23" xfId="0" applyFont="1" applyBorder="1" applyAlignment="1">
      <alignment horizontal="center"/>
    </xf>
    <xf numFmtId="0" fontId="21" fillId="0" borderId="9" xfId="0" applyFont="1" applyBorder="1" applyAlignment="1">
      <alignment horizontal="center"/>
    </xf>
    <xf numFmtId="0" fontId="21" fillId="0" borderId="3" xfId="0" applyFont="1" applyBorder="1" applyAlignment="1">
      <alignment horizontal="center"/>
    </xf>
    <xf numFmtId="10" fontId="21" fillId="0" borderId="0" xfId="2" applyNumberFormat="1" applyFont="1"/>
    <xf numFmtId="10" fontId="21" fillId="0" borderId="0" xfId="1" applyNumberFormat="1" applyFont="1" applyFill="1"/>
    <xf numFmtId="10" fontId="43" fillId="0" borderId="0" xfId="2" applyNumberFormat="1" applyFont="1" applyFill="1" applyAlignment="1">
      <alignment horizontal="center"/>
    </xf>
    <xf numFmtId="164" fontId="21" fillId="0" borderId="0" xfId="1" applyNumberFormat="1" applyFont="1"/>
    <xf numFmtId="0" fontId="19" fillId="0" borderId="0" xfId="0" applyFont="1" applyAlignment="1">
      <alignment horizontal="left"/>
    </xf>
    <xf numFmtId="0" fontId="21" fillId="0" borderId="2" xfId="0" applyFont="1" applyBorder="1"/>
    <xf numFmtId="0" fontId="34" fillId="0" borderId="7" xfId="0" applyFont="1" applyBorder="1" applyAlignment="1">
      <alignment horizontal="center"/>
    </xf>
    <xf numFmtId="0" fontId="34" fillId="0" borderId="9" xfId="0" applyFont="1" applyBorder="1" applyAlignment="1">
      <alignment horizontal="center"/>
    </xf>
    <xf numFmtId="0" fontId="34" fillId="0" borderId="0" xfId="0" applyFont="1" applyAlignment="1">
      <alignment horizontal="center"/>
    </xf>
    <xf numFmtId="15" fontId="34" fillId="0" borderId="9" xfId="0" applyNumberFormat="1" applyFont="1" applyBorder="1" applyAlignment="1">
      <alignment horizontal="center"/>
    </xf>
    <xf numFmtId="15" fontId="34" fillId="0" borderId="0" xfId="0" quotePrefix="1" applyNumberFormat="1" applyFont="1" applyAlignment="1">
      <alignment horizontal="center"/>
    </xf>
    <xf numFmtId="0" fontId="22" fillId="0" borderId="9" xfId="0" applyFont="1" applyBorder="1" applyAlignment="1">
      <alignment horizontal="center"/>
    </xf>
    <xf numFmtId="0" fontId="38" fillId="0" borderId="9"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35" fillId="0" borderId="10" xfId="0" applyFont="1" applyBorder="1" applyAlignment="1">
      <alignment horizontal="center"/>
    </xf>
    <xf numFmtId="0" fontId="34" fillId="0" borderId="9" xfId="0" applyFont="1" applyBorder="1"/>
    <xf numFmtId="0" fontId="34" fillId="0" borderId="7" xfId="0" applyFont="1" applyBorder="1"/>
    <xf numFmtId="0" fontId="38" fillId="0" borderId="0" xfId="0" applyFont="1" applyAlignment="1">
      <alignment horizontal="center"/>
    </xf>
    <xf numFmtId="2" fontId="38" fillId="0" borderId="9" xfId="0" applyNumberFormat="1" applyFont="1" applyBorder="1" applyAlignment="1">
      <alignment horizontal="center"/>
    </xf>
    <xf numFmtId="3" fontId="38" fillId="0" borderId="0" xfId="0" applyNumberFormat="1" applyFont="1"/>
    <xf numFmtId="0" fontId="37" fillId="0" borderId="0" xfId="0" applyFont="1"/>
    <xf numFmtId="0" fontId="44" fillId="0" borderId="2" xfId="0" applyFont="1" applyBorder="1"/>
    <xf numFmtId="0" fontId="37" fillId="0" borderId="2" xfId="0" applyFont="1" applyBorder="1"/>
    <xf numFmtId="0" fontId="37" fillId="0" borderId="5" xfId="0" applyFont="1" applyBorder="1"/>
    <xf numFmtId="0" fontId="37" fillId="0" borderId="6" xfId="0" applyFont="1" applyBorder="1"/>
    <xf numFmtId="15" fontId="34" fillId="0" borderId="6" xfId="0" quotePrefix="1" applyNumberFormat="1" applyFont="1" applyBorder="1" applyAlignment="1">
      <alignment horizontal="center"/>
    </xf>
    <xf numFmtId="0" fontId="19" fillId="0" borderId="6" xfId="0" applyFont="1" applyBorder="1"/>
    <xf numFmtId="0" fontId="37" fillId="0" borderId="11" xfId="0" applyFont="1" applyBorder="1"/>
    <xf numFmtId="15" fontId="34" fillId="0" borderId="12" xfId="0" quotePrefix="1" applyNumberFormat="1" applyFont="1" applyBorder="1" applyAlignment="1">
      <alignment horizontal="center"/>
    </xf>
    <xf numFmtId="0" fontId="38" fillId="0" borderId="12" xfId="0" applyFont="1" applyBorder="1" applyAlignment="1">
      <alignment horizontal="center"/>
    </xf>
    <xf numFmtId="0" fontId="34" fillId="0" borderId="13" xfId="0" applyFont="1" applyBorder="1" applyAlignment="1">
      <alignment horizontal="center"/>
    </xf>
    <xf numFmtId="0" fontId="35" fillId="0" borderId="14" xfId="0" applyFont="1" applyBorder="1" applyAlignment="1">
      <alignment horizontal="center"/>
    </xf>
    <xf numFmtId="0" fontId="34" fillId="0" borderId="12" xfId="0" applyFont="1" applyBorder="1"/>
    <xf numFmtId="164" fontId="38" fillId="0" borderId="0" xfId="1" applyNumberFormat="1" applyFont="1" applyFill="1" applyBorder="1"/>
    <xf numFmtId="10" fontId="38" fillId="0" borderId="0" xfId="2" applyNumberFormat="1" applyFont="1" applyFill="1" applyBorder="1"/>
    <xf numFmtId="10" fontId="38" fillId="0" borderId="12" xfId="2" applyNumberFormat="1" applyFont="1" applyFill="1" applyBorder="1"/>
    <xf numFmtId="0" fontId="37" fillId="0" borderId="8" xfId="0" applyFont="1" applyBorder="1"/>
    <xf numFmtId="0" fontId="37" fillId="0" borderId="13" xfId="0" applyFont="1" applyBorder="1"/>
    <xf numFmtId="0" fontId="34" fillId="0" borderId="0" xfId="0" applyFont="1" applyAlignment="1">
      <alignment horizontal="right"/>
    </xf>
    <xf numFmtId="164" fontId="21" fillId="0" borderId="0" xfId="0" applyNumberFormat="1" applyFont="1"/>
    <xf numFmtId="10" fontId="34" fillId="0" borderId="0" xfId="0" applyNumberFormat="1" applyFont="1" applyAlignment="1">
      <alignment horizontal="right"/>
    </xf>
    <xf numFmtId="10" fontId="34" fillId="0" borderId="0" xfId="2" applyNumberFormat="1" applyFont="1" applyFill="1"/>
    <xf numFmtId="10" fontId="34" fillId="0" borderId="0" xfId="2" applyNumberFormat="1" applyFont="1"/>
    <xf numFmtId="2" fontId="19" fillId="0" borderId="0" xfId="0" applyNumberFormat="1" applyFont="1"/>
    <xf numFmtId="0" fontId="21" fillId="0" borderId="1" xfId="0" applyFont="1" applyBorder="1" applyAlignment="1">
      <alignment horizontal="center"/>
    </xf>
    <xf numFmtId="0" fontId="28" fillId="0" borderId="0" xfId="0" applyFont="1" applyAlignment="1">
      <alignment horizontal="right"/>
    </xf>
    <xf numFmtId="0" fontId="22" fillId="0" borderId="0" xfId="0" applyFont="1"/>
    <xf numFmtId="0" fontId="20" fillId="0" borderId="0" xfId="0" applyFont="1"/>
    <xf numFmtId="0" fontId="20" fillId="0" borderId="0" xfId="0" applyFont="1" applyAlignment="1">
      <alignment horizontal="left"/>
    </xf>
    <xf numFmtId="0" fontId="47" fillId="0" borderId="0" xfId="6" applyFont="1" applyFill="1" applyAlignment="1" applyProtection="1">
      <alignment horizontal="left" vertical="top"/>
    </xf>
    <xf numFmtId="0" fontId="20" fillId="0" borderId="0" xfId="0" applyFont="1" applyAlignment="1">
      <alignment horizontal="left" vertical="top"/>
    </xf>
    <xf numFmtId="0" fontId="47" fillId="0" borderId="0" xfId="6" applyFont="1" applyFill="1" applyAlignment="1" applyProtection="1"/>
    <xf numFmtId="0" fontId="20" fillId="0" borderId="0" xfId="0" applyFont="1" applyAlignment="1">
      <alignment vertical="top"/>
    </xf>
    <xf numFmtId="0" fontId="48" fillId="0" borderId="0" xfId="0" applyFont="1" applyAlignment="1">
      <alignment horizontal="left" vertical="top"/>
    </xf>
    <xf numFmtId="0" fontId="48" fillId="0" borderId="0" xfId="0" applyFont="1"/>
    <xf numFmtId="165" fontId="21" fillId="0" borderId="0" xfId="3" applyNumberFormat="1" applyFont="1" applyFill="1" applyAlignment="1">
      <alignment horizontal="center"/>
    </xf>
    <xf numFmtId="164" fontId="22" fillId="0" borderId="0" xfId="1" applyNumberFormat="1" applyFont="1" applyFill="1"/>
    <xf numFmtId="10" fontId="22" fillId="0" borderId="0" xfId="2" applyNumberFormat="1" applyFont="1" applyFill="1"/>
    <xf numFmtId="0" fontId="28" fillId="0" borderId="2" xfId="0" applyFont="1" applyBorder="1" applyAlignment="1">
      <alignment horizontal="center"/>
    </xf>
    <xf numFmtId="10" fontId="38" fillId="0" borderId="0" xfId="2" applyNumberFormat="1" applyFont="1" applyFill="1" applyAlignment="1">
      <alignment horizontal="center"/>
    </xf>
    <xf numFmtId="10" fontId="38" fillId="0" borderId="0" xfId="2" applyNumberFormat="1" applyFont="1" applyFill="1"/>
    <xf numFmtId="2" fontId="49" fillId="0" borderId="0" xfId="0" applyNumberFormat="1" applyFont="1" applyAlignment="1">
      <alignment horizontal="center"/>
    </xf>
    <xf numFmtId="2" fontId="34" fillId="0" borderId="2" xfId="0" applyNumberFormat="1" applyFont="1" applyBorder="1" applyAlignment="1">
      <alignment horizontal="center"/>
    </xf>
    <xf numFmtId="10" fontId="34" fillId="0" borderId="2" xfId="2" applyNumberFormat="1" applyFont="1" applyBorder="1"/>
    <xf numFmtId="10" fontId="34" fillId="0" borderId="0" xfId="0" applyNumberFormat="1" applyFont="1" applyAlignment="1">
      <alignment horizontal="center"/>
    </xf>
    <xf numFmtId="2" fontId="34" fillId="0" borderId="0" xfId="0" applyNumberFormat="1" applyFont="1" applyAlignment="1">
      <alignment horizontal="center"/>
    </xf>
    <xf numFmtId="0" fontId="38" fillId="0" borderId="0" xfId="0" applyFont="1"/>
    <xf numFmtId="0" fontId="34" fillId="0" borderId="0" xfId="0" applyFont="1" applyAlignment="1">
      <alignment horizontal="left"/>
    </xf>
    <xf numFmtId="10" fontId="19" fillId="0" borderId="0" xfId="0" applyNumberFormat="1" applyFont="1"/>
    <xf numFmtId="0" fontId="18" fillId="0" borderId="0" xfId="6"/>
    <xf numFmtId="0" fontId="50" fillId="0" borderId="2" xfId="0" applyFont="1" applyBorder="1"/>
    <xf numFmtId="0" fontId="0" fillId="0" borderId="2" xfId="0" applyBorder="1"/>
    <xf numFmtId="0" fontId="28" fillId="0" borderId="2" xfId="0" applyFont="1" applyBorder="1"/>
    <xf numFmtId="0" fontId="19" fillId="0" borderId="5" xfId="0" applyFont="1" applyBorder="1"/>
    <xf numFmtId="0" fontId="19" fillId="0" borderId="11" xfId="0" applyFont="1" applyBorder="1"/>
    <xf numFmtId="0" fontId="21" fillId="0" borderId="8" xfId="0" applyFont="1" applyBorder="1" applyAlignment="1">
      <alignment horizontal="center" vertical="center"/>
    </xf>
    <xf numFmtId="0" fontId="28" fillId="0" borderId="33" xfId="0" applyFont="1" applyBorder="1" applyAlignment="1">
      <alignment horizontal="center" vertical="center" wrapText="1"/>
    </xf>
    <xf numFmtId="0" fontId="28" fillId="0" borderId="15" xfId="0" applyFont="1" applyBorder="1" applyAlignment="1">
      <alignment horizontal="center" vertical="center"/>
    </xf>
    <xf numFmtId="0" fontId="28" fillId="0" borderId="15" xfId="0" applyFont="1" applyBorder="1" applyAlignment="1">
      <alignment horizontal="center" vertical="center" wrapText="1"/>
    </xf>
    <xf numFmtId="0" fontId="28" fillId="0" borderId="31" xfId="0" applyFont="1" applyBorder="1" applyAlignment="1">
      <alignment horizontal="center" vertical="center"/>
    </xf>
    <xf numFmtId="0" fontId="34" fillId="0" borderId="15" xfId="0" applyFont="1" applyBorder="1" applyAlignment="1">
      <alignment horizontal="center" vertical="center"/>
    </xf>
    <xf numFmtId="0" fontId="51" fillId="0" borderId="0" xfId="0" applyFont="1"/>
    <xf numFmtId="0" fontId="28" fillId="0" borderId="7" xfId="0" applyFont="1" applyBorder="1" applyAlignment="1">
      <alignment horizontal="center" vertical="center"/>
    </xf>
    <xf numFmtId="0" fontId="34" fillId="0" borderId="2" xfId="0" applyFont="1" applyBorder="1" applyAlignment="1">
      <alignment horizontal="center" vertical="center"/>
    </xf>
    <xf numFmtId="0" fontId="50" fillId="0" borderId="32" xfId="0" applyFont="1" applyBorder="1"/>
    <xf numFmtId="0" fontId="19" fillId="0" borderId="26" xfId="0" applyFont="1" applyBorder="1"/>
    <xf numFmtId="0" fontId="19" fillId="0" borderId="25" xfId="0" applyFont="1" applyBorder="1"/>
    <xf numFmtId="0" fontId="34" fillId="0" borderId="28" xfId="0" applyFont="1" applyBorder="1"/>
    <xf numFmtId="0" fontId="34" fillId="0" borderId="30" xfId="0" applyFont="1" applyBorder="1"/>
    <xf numFmtId="10" fontId="38" fillId="0" borderId="24" xfId="2" applyNumberFormat="1" applyFont="1" applyFill="1" applyBorder="1" applyAlignment="1">
      <alignment horizontal="center"/>
    </xf>
    <xf numFmtId="0" fontId="34" fillId="0" borderId="19" xfId="0" applyFont="1" applyBorder="1"/>
    <xf numFmtId="10" fontId="38" fillId="0" borderId="25" xfId="2" applyNumberFormat="1" applyFont="1" applyFill="1" applyBorder="1" applyAlignment="1">
      <alignment horizontal="center"/>
    </xf>
    <xf numFmtId="0" fontId="34" fillId="0" borderId="21" xfId="0" applyFont="1" applyBorder="1"/>
    <xf numFmtId="0" fontId="34" fillId="0" borderId="1" xfId="0" applyFont="1" applyBorder="1"/>
    <xf numFmtId="10" fontId="38" fillId="0" borderId="26" xfId="2" applyNumberFormat="1" applyFont="1" applyFill="1" applyBorder="1" applyAlignment="1">
      <alignment horizontal="center"/>
    </xf>
    <xf numFmtId="10" fontId="38" fillId="0" borderId="25" xfId="2" applyNumberFormat="1" applyFont="1" applyBorder="1" applyAlignment="1">
      <alignment horizontal="center" vertical="center"/>
    </xf>
    <xf numFmtId="10" fontId="34" fillId="0" borderId="24" xfId="2" applyNumberFormat="1" applyFont="1" applyFill="1" applyBorder="1" applyAlignment="1">
      <alignment horizontal="center"/>
    </xf>
    <xf numFmtId="10" fontId="34" fillId="0" borderId="26" xfId="2" applyNumberFormat="1" applyFont="1" applyFill="1" applyBorder="1" applyAlignment="1">
      <alignment horizontal="center"/>
    </xf>
    <xf numFmtId="10" fontId="38" fillId="0" borderId="0" xfId="2" applyNumberFormat="1" applyFont="1" applyAlignment="1">
      <alignment horizontal="right" vertical="center"/>
    </xf>
    <xf numFmtId="43" fontId="38" fillId="0" borderId="0" xfId="1" applyFont="1" applyAlignment="1">
      <alignment horizontal="right" vertical="center"/>
    </xf>
    <xf numFmtId="43" fontId="38" fillId="0" borderId="0" xfId="1" applyFont="1" applyFill="1" applyAlignment="1">
      <alignment horizontal="right" vertical="center"/>
    </xf>
    <xf numFmtId="10" fontId="34" fillId="0" borderId="0" xfId="2" applyNumberFormat="1" applyFont="1" applyFill="1" applyAlignment="1">
      <alignment horizontal="right"/>
    </xf>
    <xf numFmtId="43" fontId="34" fillId="0" borderId="0" xfId="1" applyFont="1" applyFill="1" applyAlignment="1">
      <alignment horizontal="right"/>
    </xf>
    <xf numFmtId="43" fontId="34" fillId="0" borderId="0" xfId="1" applyFont="1" applyFill="1"/>
    <xf numFmtId="0" fontId="34" fillId="0" borderId="0" xfId="0" applyFont="1" applyAlignment="1">
      <alignment horizontal="center" vertical="center"/>
    </xf>
    <xf numFmtId="0" fontId="22" fillId="0" borderId="24" xfId="0" applyFont="1" applyBorder="1" applyAlignment="1">
      <alignment horizontal="center"/>
    </xf>
    <xf numFmtId="0" fontId="22" fillId="0" borderId="26" xfId="0" applyFont="1" applyBorder="1" applyAlignment="1">
      <alignment horizontal="center"/>
    </xf>
    <xf numFmtId="44" fontId="38" fillId="0" borderId="0" xfId="3" applyFont="1" applyAlignment="1">
      <alignment horizontal="center"/>
    </xf>
    <xf numFmtId="165" fontId="21" fillId="0" borderId="0" xfId="0" applyNumberFormat="1" applyFont="1" applyAlignment="1">
      <alignment horizontal="center"/>
    </xf>
    <xf numFmtId="0" fontId="29" fillId="0" borderId="0" xfId="0" applyFont="1"/>
    <xf numFmtId="0" fontId="33" fillId="0" borderId="0" xfId="0" applyFont="1"/>
    <xf numFmtId="0" fontId="21" fillId="0" borderId="0" xfId="0" applyFont="1" applyAlignment="1">
      <alignment horizontal="right" vertical="center"/>
    </xf>
    <xf numFmtId="0" fontId="0" fillId="0" borderId="33" xfId="0" applyBorder="1"/>
    <xf numFmtId="0" fontId="19" fillId="0" borderId="31" xfId="0" applyFont="1" applyBorder="1"/>
    <xf numFmtId="0" fontId="24" fillId="0" borderId="33" xfId="0" applyFont="1" applyBorder="1" applyAlignment="1">
      <alignment horizontal="right"/>
    </xf>
    <xf numFmtId="0" fontId="23" fillId="0" borderId="31" xfId="0" applyFont="1" applyBorder="1"/>
    <xf numFmtId="0" fontId="23" fillId="0" borderId="33" xfId="0" applyFont="1" applyBorder="1" applyAlignment="1">
      <alignment horizontal="right"/>
    </xf>
    <xf numFmtId="0" fontId="23" fillId="0" borderId="33" xfId="0" applyFont="1" applyBorder="1"/>
    <xf numFmtId="0" fontId="19" fillId="0" borderId="33" xfId="0" applyFont="1" applyBorder="1"/>
    <xf numFmtId="0" fontId="34" fillId="0" borderId="7" xfId="0" applyFont="1" applyBorder="1" applyAlignment="1">
      <alignment horizontal="center" vertical="center"/>
    </xf>
    <xf numFmtId="10" fontId="34" fillId="0" borderId="0" xfId="2" applyNumberFormat="1" applyFont="1" applyBorder="1" applyAlignment="1">
      <alignment horizontal="center" vertical="center"/>
    </xf>
    <xf numFmtId="10" fontId="34" fillId="0" borderId="12" xfId="2" applyNumberFormat="1" applyFont="1" applyBorder="1" applyAlignment="1">
      <alignment horizontal="center" vertical="center"/>
    </xf>
    <xf numFmtId="0" fontId="37" fillId="0" borderId="7" xfId="0" applyFont="1" applyBorder="1"/>
    <xf numFmtId="0" fontId="37" fillId="0" borderId="12" xfId="0" applyFont="1" applyBorder="1"/>
    <xf numFmtId="0" fontId="24" fillId="0" borderId="15" xfId="0" applyFont="1" applyBorder="1" applyAlignment="1">
      <alignment horizontal="center" vertical="center"/>
    </xf>
    <xf numFmtId="0" fontId="53" fillId="0" borderId="0" xfId="0" applyFont="1"/>
    <xf numFmtId="0" fontId="24" fillId="0" borderId="15" xfId="0" applyFont="1" applyBorder="1" applyAlignment="1">
      <alignment horizontal="right"/>
    </xf>
    <xf numFmtId="2" fontId="34" fillId="0" borderId="15" xfId="0" applyNumberFormat="1" applyFont="1" applyBorder="1" applyAlignment="1">
      <alignment horizontal="center"/>
    </xf>
    <xf numFmtId="43" fontId="34" fillId="0" borderId="0" xfId="1" applyFont="1" applyBorder="1" applyAlignment="1">
      <alignment horizontal="center" vertical="center"/>
    </xf>
    <xf numFmtId="43" fontId="34" fillId="0" borderId="0" xfId="1" applyFont="1" applyBorder="1" applyAlignment="1">
      <alignment vertical="center"/>
    </xf>
    <xf numFmtId="10" fontId="34" fillId="0" borderId="0" xfId="2" applyNumberFormat="1" applyFont="1" applyBorder="1" applyAlignment="1">
      <alignment vertical="center"/>
    </xf>
    <xf numFmtId="10" fontId="0" fillId="0" borderId="0" xfId="2" applyNumberFormat="1" applyFont="1"/>
    <xf numFmtId="10" fontId="34" fillId="0" borderId="0" xfId="2" applyNumberFormat="1" applyFont="1" applyFill="1" applyBorder="1" applyAlignment="1">
      <alignment horizontal="center" vertical="center"/>
    </xf>
    <xf numFmtId="0" fontId="34" fillId="0" borderId="29" xfId="0" applyFont="1" applyBorder="1"/>
    <xf numFmtId="0" fontId="34" fillId="0" borderId="20" xfId="0" applyFont="1" applyBorder="1"/>
    <xf numFmtId="0" fontId="34" fillId="0" borderId="22" xfId="0" applyFont="1" applyBorder="1"/>
    <xf numFmtId="0" fontId="19" fillId="0" borderId="23" xfId="0" applyFont="1" applyBorder="1"/>
    <xf numFmtId="10" fontId="28" fillId="0" borderId="3" xfId="2" applyNumberFormat="1" applyFont="1" applyBorder="1" applyAlignment="1">
      <alignment horizontal="center" vertical="center"/>
    </xf>
    <xf numFmtId="10" fontId="23" fillId="0" borderId="0" xfId="2" applyNumberFormat="1" applyFont="1" applyAlignment="1">
      <alignment horizontal="center"/>
    </xf>
    <xf numFmtId="0" fontId="54" fillId="0" borderId="0" xfId="0" applyFont="1"/>
    <xf numFmtId="0" fontId="31" fillId="0" borderId="0" xfId="0" applyFont="1"/>
    <xf numFmtId="164" fontId="21" fillId="0" borderId="0" xfId="1" applyNumberFormat="1" applyFont="1" applyFill="1" applyAlignment="1">
      <alignment horizontal="center"/>
    </xf>
    <xf numFmtId="164" fontId="21" fillId="0" borderId="0" xfId="1" applyNumberFormat="1" applyFont="1" applyFill="1" applyAlignment="1"/>
    <xf numFmtId="10" fontId="38" fillId="0" borderId="26" xfId="2" applyNumberFormat="1" applyFont="1" applyBorder="1" applyAlignment="1">
      <alignment horizontal="center" vertical="center"/>
    </xf>
    <xf numFmtId="0" fontId="21" fillId="0" borderId="0" xfId="0" applyFont="1" applyAlignment="1">
      <alignment horizontal="center" vertical="center"/>
    </xf>
    <xf numFmtId="10" fontId="28" fillId="0" borderId="0" xfId="2" applyNumberFormat="1" applyFont="1" applyBorder="1" applyAlignment="1">
      <alignment horizontal="center" vertical="center"/>
    </xf>
    <xf numFmtId="0" fontId="28" fillId="0" borderId="8" xfId="0" applyFont="1" applyBorder="1" applyAlignment="1">
      <alignment horizontal="right" vertical="center"/>
    </xf>
    <xf numFmtId="0" fontId="30" fillId="0" borderId="16" xfId="0" applyFont="1" applyBorder="1" applyAlignment="1">
      <alignment horizontal="center"/>
    </xf>
    <xf numFmtId="0" fontId="21" fillId="0" borderId="2" xfId="0" quotePrefix="1" applyFont="1" applyBorder="1" applyAlignment="1">
      <alignment horizontal="center"/>
    </xf>
    <xf numFmtId="0" fontId="6" fillId="0" borderId="0" xfId="0" applyFont="1"/>
    <xf numFmtId="0" fontId="55" fillId="0" borderId="0" xfId="0" applyFont="1" applyAlignment="1">
      <alignment horizontal="center"/>
    </xf>
    <xf numFmtId="0" fontId="37" fillId="0" borderId="0" xfId="0" applyFont="1" applyAlignment="1">
      <alignment horizontal="left"/>
    </xf>
    <xf numFmtId="0" fontId="52" fillId="0" borderId="0" xfId="0" applyFont="1" applyAlignment="1">
      <alignment horizontal="left"/>
    </xf>
    <xf numFmtId="0" fontId="56" fillId="0" borderId="0" xfId="0" applyFont="1"/>
    <xf numFmtId="0" fontId="37" fillId="0" borderId="0" xfId="0" applyFont="1" applyAlignment="1">
      <alignment horizontal="right"/>
    </xf>
    <xf numFmtId="0" fontId="37" fillId="0" borderId="2" xfId="0" applyFont="1" applyBorder="1" applyAlignment="1">
      <alignment horizontal="center"/>
    </xf>
    <xf numFmtId="0" fontId="52" fillId="0" borderId="0" xfId="0" applyFont="1"/>
    <xf numFmtId="10" fontId="28" fillId="0" borderId="9" xfId="2" applyNumberFormat="1" applyFont="1" applyFill="1" applyBorder="1" applyAlignment="1">
      <alignment horizontal="center" vertical="center"/>
    </xf>
    <xf numFmtId="167" fontId="38" fillId="0" borderId="15" xfId="1" applyNumberFormat="1" applyFont="1" applyFill="1" applyBorder="1"/>
    <xf numFmtId="15" fontId="34" fillId="0" borderId="23" xfId="0" applyNumberFormat="1" applyFont="1" applyBorder="1" applyAlignment="1">
      <alignment horizontal="center"/>
    </xf>
    <xf numFmtId="15" fontId="34" fillId="0" borderId="11" xfId="0" applyNumberFormat="1" applyFont="1" applyBorder="1" applyAlignment="1">
      <alignment horizontal="center"/>
    </xf>
    <xf numFmtId="15" fontId="34" fillId="0" borderId="12" xfId="0" applyNumberFormat="1" applyFont="1" applyBorder="1" applyAlignment="1">
      <alignment horizontal="center"/>
    </xf>
    <xf numFmtId="0" fontId="34" fillId="0" borderId="12" xfId="0" applyFont="1" applyBorder="1" applyAlignment="1">
      <alignment horizontal="center"/>
    </xf>
    <xf numFmtId="0" fontId="51" fillId="0" borderId="0" xfId="0" applyFont="1" applyAlignment="1">
      <alignment horizontal="center" vertical="center"/>
    </xf>
    <xf numFmtId="0" fontId="51" fillId="0" borderId="1" xfId="0" applyFont="1" applyBorder="1" applyAlignment="1">
      <alignment horizontal="center" vertical="center"/>
    </xf>
    <xf numFmtId="0" fontId="0" fillId="0" borderId="1" xfId="0" applyBorder="1"/>
    <xf numFmtId="0" fontId="34" fillId="0" borderId="1" xfId="0" applyFont="1" applyBorder="1" applyAlignment="1">
      <alignment horizontal="center"/>
    </xf>
    <xf numFmtId="10" fontId="38" fillId="0" borderId="1" xfId="2" applyNumberFormat="1" applyFont="1" applyFill="1" applyBorder="1" applyAlignment="1">
      <alignment horizontal="center"/>
    </xf>
    <xf numFmtId="43" fontId="38" fillId="0" borderId="1" xfId="1" applyFont="1" applyFill="1" applyBorder="1" applyAlignment="1">
      <alignment horizontal="center"/>
    </xf>
    <xf numFmtId="43" fontId="38" fillId="0" borderId="0" xfId="1" applyFont="1" applyAlignment="1">
      <alignment horizontal="center"/>
    </xf>
    <xf numFmtId="43" fontId="38" fillId="0" borderId="0" xfId="1" applyFont="1" applyFill="1" applyAlignment="1">
      <alignment horizontal="center"/>
    </xf>
    <xf numFmtId="0" fontId="51" fillId="0" borderId="0" xfId="0" applyFont="1" applyAlignment="1">
      <alignment horizontal="right"/>
    </xf>
    <xf numFmtId="43" fontId="51" fillId="0" borderId="0" xfId="0" applyNumberFormat="1" applyFont="1"/>
    <xf numFmtId="2" fontId="51" fillId="0" borderId="0" xfId="0" applyNumberFormat="1" applyFont="1"/>
    <xf numFmtId="0" fontId="34" fillId="0" borderId="5" xfId="0" applyFont="1" applyBorder="1" applyAlignment="1">
      <alignment horizontal="center"/>
    </xf>
    <xf numFmtId="0" fontId="34" fillId="0" borderId="23" xfId="0" applyFont="1" applyBorder="1" applyAlignment="1">
      <alignment horizontal="center"/>
    </xf>
    <xf numFmtId="0" fontId="34" fillId="0" borderId="6" xfId="0" applyFont="1" applyBorder="1" applyAlignment="1">
      <alignment horizontal="center"/>
    </xf>
    <xf numFmtId="164" fontId="38" fillId="0" borderId="9" xfId="1" applyNumberFormat="1" applyFont="1" applyFill="1" applyBorder="1" applyAlignment="1">
      <alignment horizontal="center"/>
    </xf>
    <xf numFmtId="164" fontId="38" fillId="0" borderId="12" xfId="1" applyNumberFormat="1" applyFont="1" applyFill="1" applyBorder="1" applyAlignment="1">
      <alignment horizontal="center"/>
    </xf>
    <xf numFmtId="0" fontId="22" fillId="0" borderId="0" xfId="0" applyFont="1" applyAlignment="1">
      <alignment horizontal="center"/>
    </xf>
    <xf numFmtId="10" fontId="38" fillId="0" borderId="0" xfId="2" applyNumberFormat="1" applyFont="1" applyFill="1" applyBorder="1" applyAlignment="1">
      <alignment horizontal="center"/>
    </xf>
    <xf numFmtId="10" fontId="38" fillId="0" borderId="0" xfId="2" applyNumberFormat="1" applyFont="1" applyBorder="1" applyAlignment="1">
      <alignment horizontal="center" vertical="center"/>
    </xf>
    <xf numFmtId="10" fontId="28" fillId="0" borderId="3" xfId="2" applyNumberFormat="1" applyFont="1" applyFill="1" applyBorder="1" applyAlignment="1">
      <alignment horizontal="center" vertical="center"/>
    </xf>
    <xf numFmtId="0" fontId="24" fillId="0" borderId="18" xfId="0" applyFont="1" applyBorder="1" applyAlignment="1">
      <alignment horizontal="center" vertical="center"/>
    </xf>
    <xf numFmtId="0" fontId="28" fillId="0" borderId="31" xfId="0" applyFont="1" applyBorder="1"/>
    <xf numFmtId="0" fontId="19" fillId="0" borderId="32" xfId="0" applyFont="1" applyBorder="1"/>
    <xf numFmtId="0" fontId="34" fillId="0" borderId="31" xfId="0" applyFont="1" applyBorder="1"/>
    <xf numFmtId="0" fontId="34" fillId="0" borderId="33" xfId="0" applyFont="1" applyBorder="1"/>
    <xf numFmtId="15" fontId="34" fillId="0" borderId="6" xfId="0" applyNumberFormat="1" applyFont="1" applyBorder="1" applyAlignment="1">
      <alignment horizontal="center"/>
    </xf>
    <xf numFmtId="15" fontId="34" fillId="0" borderId="23" xfId="0" quotePrefix="1" applyNumberFormat="1" applyFont="1" applyBorder="1" applyAlignment="1">
      <alignment horizontal="center"/>
    </xf>
    <xf numFmtId="15" fontId="34" fillId="0" borderId="0" xfId="0" applyNumberFormat="1" applyFont="1" applyAlignment="1">
      <alignment horizontal="center"/>
    </xf>
    <xf numFmtId="0" fontId="59" fillId="0" borderId="0" xfId="0" applyFont="1"/>
    <xf numFmtId="0" fontId="34" fillId="0" borderId="11" xfId="0" applyFont="1" applyBorder="1" applyAlignment="1">
      <alignment horizontal="center"/>
    </xf>
    <xf numFmtId="0" fontId="35" fillId="0" borderId="34" xfId="0" applyFont="1" applyBorder="1" applyAlignment="1">
      <alignment horizontal="center"/>
    </xf>
    <xf numFmtId="10" fontId="36" fillId="0" borderId="0" xfId="2" applyNumberFormat="1" applyFont="1" applyFill="1" applyBorder="1"/>
    <xf numFmtId="0" fontId="28" fillId="0" borderId="27" xfId="0" applyFont="1" applyBorder="1" applyAlignment="1">
      <alignment horizontal="center"/>
    </xf>
    <xf numFmtId="0" fontId="37" fillId="2" borderId="25" xfId="0" applyFont="1" applyFill="1" applyBorder="1" applyAlignment="1">
      <alignment horizontal="center"/>
    </xf>
    <xf numFmtId="0" fontId="19" fillId="2" borderId="25" xfId="0" applyFont="1" applyFill="1" applyBorder="1" applyAlignment="1">
      <alignment horizontal="center"/>
    </xf>
    <xf numFmtId="0" fontId="37" fillId="2" borderId="26" xfId="0" applyFont="1" applyFill="1" applyBorder="1" applyAlignment="1">
      <alignment horizontal="center"/>
    </xf>
    <xf numFmtId="0" fontId="19" fillId="2" borderId="26" xfId="0" applyFont="1" applyFill="1" applyBorder="1" applyAlignment="1">
      <alignment horizontal="center"/>
    </xf>
    <xf numFmtId="43" fontId="24" fillId="0" borderId="0" xfId="1" applyFont="1" applyFill="1" applyBorder="1" applyAlignment="1">
      <alignment horizontal="center" vertical="center"/>
    </xf>
    <xf numFmtId="0" fontId="28" fillId="0" borderId="24" xfId="0" applyFont="1" applyBorder="1" applyAlignment="1">
      <alignment horizontal="center"/>
    </xf>
    <xf numFmtId="0" fontId="19" fillId="2" borderId="28" xfId="0" applyFont="1" applyFill="1" applyBorder="1" applyAlignment="1">
      <alignment horizontal="center"/>
    </xf>
    <xf numFmtId="0" fontId="19" fillId="2" borderId="29" xfId="0" applyFont="1" applyFill="1" applyBorder="1" applyAlignment="1">
      <alignment horizontal="center"/>
    </xf>
    <xf numFmtId="0" fontId="19" fillId="2" borderId="20" xfId="0" applyFont="1" applyFill="1" applyBorder="1" applyAlignment="1">
      <alignment horizontal="center"/>
    </xf>
    <xf numFmtId="0" fontId="19" fillId="2" borderId="22" xfId="0" applyFont="1" applyFill="1" applyBorder="1" applyAlignment="1">
      <alignment horizontal="center"/>
    </xf>
    <xf numFmtId="0" fontId="37" fillId="2" borderId="24" xfId="0" applyFont="1" applyFill="1" applyBorder="1" applyAlignment="1">
      <alignment horizontal="center"/>
    </xf>
    <xf numFmtId="1" fontId="22" fillId="0" borderId="0" xfId="0" applyNumberFormat="1" applyFont="1" applyAlignment="1">
      <alignment horizontal="center"/>
    </xf>
    <xf numFmtId="164" fontId="22" fillId="0" borderId="0" xfId="1" applyNumberFormat="1" applyFont="1" applyFill="1" applyAlignment="1">
      <alignment horizontal="center"/>
    </xf>
    <xf numFmtId="164" fontId="22" fillId="0" borderId="1" xfId="1" applyNumberFormat="1" applyFont="1" applyFill="1" applyBorder="1" applyAlignment="1">
      <alignment horizontal="center"/>
    </xf>
    <xf numFmtId="0" fontId="40" fillId="0" borderId="13" xfId="0" applyFont="1" applyBorder="1" applyAlignment="1">
      <alignment horizontal="center"/>
    </xf>
    <xf numFmtId="0" fontId="40" fillId="0" borderId="3" xfId="0" applyFont="1" applyBorder="1" applyAlignment="1">
      <alignment horizontal="center"/>
    </xf>
    <xf numFmtId="0" fontId="35" fillId="0" borderId="35" xfId="0" applyFont="1" applyBorder="1" applyAlignment="1">
      <alignment horizontal="center"/>
    </xf>
    <xf numFmtId="0" fontId="35" fillId="0" borderId="16" xfId="0" applyFont="1" applyBorder="1" applyAlignment="1">
      <alignment horizontal="center"/>
    </xf>
    <xf numFmtId="0" fontId="0" fillId="0" borderId="8" xfId="0" applyBorder="1"/>
    <xf numFmtId="0" fontId="0" fillId="0" borderId="13" xfId="0" applyBorder="1"/>
    <xf numFmtId="0" fontId="34" fillId="0" borderId="15" xfId="0" applyFont="1" applyBorder="1" applyAlignment="1">
      <alignment horizontal="right"/>
    </xf>
    <xf numFmtId="0" fontId="34" fillId="0" borderId="8" xfId="0" applyFont="1" applyBorder="1"/>
    <xf numFmtId="164" fontId="38" fillId="0" borderId="3" xfId="1" applyNumberFormat="1" applyFont="1" applyFill="1" applyBorder="1" applyAlignment="1">
      <alignment horizontal="center"/>
    </xf>
    <xf numFmtId="165" fontId="22" fillId="0" borderId="0" xfId="3" applyNumberFormat="1" applyFont="1" applyFill="1" applyAlignment="1">
      <alignment horizontal="right"/>
    </xf>
    <xf numFmtId="2" fontId="15" fillId="0" borderId="4" xfId="0" applyNumberFormat="1" applyFont="1" applyBorder="1" applyAlignment="1">
      <alignment horizontal="center"/>
    </xf>
    <xf numFmtId="0" fontId="35" fillId="0" borderId="36" xfId="0" applyFont="1" applyBorder="1" applyAlignment="1">
      <alignment horizontal="center"/>
    </xf>
    <xf numFmtId="164" fontId="21" fillId="0" borderId="0" xfId="0" applyNumberFormat="1" applyFont="1" applyAlignment="1">
      <alignment horizontal="right"/>
    </xf>
    <xf numFmtId="10" fontId="24" fillId="0" borderId="31" xfId="2" applyNumberFormat="1" applyFont="1" applyFill="1" applyBorder="1" applyAlignment="1">
      <alignment horizontal="right"/>
    </xf>
    <xf numFmtId="10" fontId="24" fillId="0" borderId="33" xfId="0" applyNumberFormat="1" applyFont="1" applyBorder="1"/>
    <xf numFmtId="0" fontId="0" fillId="0" borderId="6" xfId="0" applyBorder="1"/>
    <xf numFmtId="10" fontId="38" fillId="0" borderId="0" xfId="2" applyNumberFormat="1" applyFont="1" applyFill="1" applyBorder="1" applyAlignment="1">
      <alignment horizontal="right"/>
    </xf>
    <xf numFmtId="10" fontId="22" fillId="0" borderId="0" xfId="2" applyNumberFormat="1" applyFont="1" applyFill="1" applyAlignment="1">
      <alignment horizontal="center" vertical="center"/>
    </xf>
    <xf numFmtId="10" fontId="22" fillId="0" borderId="1" xfId="2" applyNumberFormat="1" applyFont="1" applyFill="1" applyBorder="1" applyAlignment="1">
      <alignment horizontal="center" vertical="center"/>
    </xf>
    <xf numFmtId="10" fontId="21" fillId="0" borderId="0" xfId="2" applyNumberFormat="1" applyFont="1" applyFill="1" applyAlignment="1">
      <alignment horizontal="right" vertical="center"/>
    </xf>
    <xf numFmtId="10" fontId="21" fillId="0" borderId="0" xfId="2" applyNumberFormat="1" applyFont="1" applyFill="1" applyBorder="1" applyAlignment="1">
      <alignment horizontal="right" vertical="center"/>
    </xf>
    <xf numFmtId="44" fontId="22" fillId="0" borderId="0" xfId="3" applyFont="1" applyFill="1" applyAlignment="1">
      <alignment horizontal="center"/>
    </xf>
    <xf numFmtId="0" fontId="19" fillId="0" borderId="22" xfId="0" applyFont="1" applyBorder="1"/>
    <xf numFmtId="0" fontId="0" fillId="0" borderId="32" xfId="0" applyBorder="1"/>
    <xf numFmtId="10" fontId="22" fillId="0" borderId="0" xfId="2" applyNumberFormat="1" applyFont="1" applyAlignment="1">
      <alignment horizontal="right"/>
    </xf>
    <xf numFmtId="168" fontId="28" fillId="0" borderId="15" xfId="2" applyNumberFormat="1" applyFont="1" applyFill="1" applyBorder="1" applyAlignment="1">
      <alignment horizontal="center"/>
    </xf>
    <xf numFmtId="164" fontId="22" fillId="0" borderId="0" xfId="1" applyNumberFormat="1" applyFont="1" applyFill="1" applyAlignment="1"/>
    <xf numFmtId="164" fontId="22" fillId="0" borderId="1" xfId="1" applyNumberFormat="1" applyFont="1" applyFill="1" applyBorder="1" applyAlignment="1"/>
    <xf numFmtId="43" fontId="22" fillId="0" borderId="1" xfId="1" applyFont="1" applyFill="1" applyBorder="1" applyAlignment="1">
      <alignment horizontal="right" vertical="center"/>
    </xf>
    <xf numFmtId="43" fontId="38" fillId="0" borderId="1" xfId="1" applyFont="1" applyBorder="1" applyAlignment="1">
      <alignment horizontal="right" vertical="center"/>
    </xf>
    <xf numFmtId="43" fontId="38" fillId="0" borderId="1" xfId="1" applyFont="1" applyFill="1" applyBorder="1" applyAlignment="1">
      <alignment horizontal="right" vertical="center"/>
    </xf>
    <xf numFmtId="0" fontId="21" fillId="0" borderId="1" xfId="0" applyFont="1" applyBorder="1" applyAlignment="1">
      <alignment horizontal="right"/>
    </xf>
    <xf numFmtId="10" fontId="22" fillId="0" borderId="1" xfId="2" applyNumberFormat="1" applyFont="1" applyBorder="1" applyAlignment="1">
      <alignment horizontal="right" vertical="center"/>
    </xf>
    <xf numFmtId="0" fontId="34" fillId="0" borderId="1" xfId="0" applyFont="1" applyBorder="1" applyAlignment="1">
      <alignment horizontal="right"/>
    </xf>
    <xf numFmtId="0" fontId="28" fillId="0" borderId="8" xfId="0" applyFont="1" applyBorder="1" applyAlignment="1">
      <alignment horizontal="center" vertical="center"/>
    </xf>
    <xf numFmtId="0" fontId="19" fillId="0" borderId="0" xfId="0" applyFont="1" applyAlignment="1">
      <alignment horizontal="right"/>
    </xf>
    <xf numFmtId="0" fontId="38" fillId="0" borderId="7" xfId="0" applyFont="1" applyBorder="1"/>
    <xf numFmtId="164" fontId="19" fillId="0" borderId="0" xfId="1" applyNumberFormat="1" applyFont="1"/>
    <xf numFmtId="164" fontId="51" fillId="0" borderId="0" xfId="0" applyNumberFormat="1" applyFont="1"/>
    <xf numFmtId="0" fontId="62" fillId="0" borderId="0" xfId="0" applyFont="1"/>
    <xf numFmtId="0" fontId="63" fillId="0" borderId="0" xfId="0" applyFont="1"/>
    <xf numFmtId="0" fontId="34" fillId="0" borderId="3" xfId="0" applyFont="1" applyBorder="1" applyAlignment="1">
      <alignment horizontal="right"/>
    </xf>
    <xf numFmtId="164" fontId="38" fillId="0" borderId="13" xfId="1" applyNumberFormat="1" applyFont="1" applyFill="1" applyBorder="1" applyAlignment="1">
      <alignment horizontal="center"/>
    </xf>
    <xf numFmtId="165" fontId="38" fillId="0" borderId="2" xfId="3" applyNumberFormat="1" applyFont="1" applyFill="1" applyBorder="1"/>
    <xf numFmtId="165" fontId="38" fillId="0" borderId="0" xfId="3" applyNumberFormat="1" applyFont="1" applyFill="1" applyBorder="1"/>
    <xf numFmtId="10" fontId="22" fillId="0" borderId="4" xfId="2" applyNumberFormat="1" applyFont="1" applyFill="1" applyBorder="1" applyAlignment="1">
      <alignment horizontal="right"/>
    </xf>
    <xf numFmtId="10" fontId="22" fillId="0" borderId="4" xfId="2" applyNumberFormat="1" applyFont="1" applyBorder="1" applyAlignment="1">
      <alignment horizontal="right"/>
    </xf>
    <xf numFmtId="10" fontId="22" fillId="0" borderId="4" xfId="2" applyNumberFormat="1" applyFont="1" applyFill="1" applyBorder="1" applyAlignment="1">
      <alignment horizontal="center"/>
    </xf>
    <xf numFmtId="10" fontId="28" fillId="0" borderId="2" xfId="2" applyNumberFormat="1" applyFont="1" applyBorder="1" applyAlignment="1">
      <alignment horizontal="center" vertical="center"/>
    </xf>
    <xf numFmtId="0" fontId="19" fillId="0" borderId="20" xfId="0" applyFont="1" applyBorder="1"/>
    <xf numFmtId="10" fontId="23" fillId="0" borderId="0" xfId="2" applyNumberFormat="1" applyFont="1" applyFill="1" applyAlignment="1">
      <alignment horizontal="center"/>
    </xf>
    <xf numFmtId="10" fontId="34" fillId="0" borderId="25" xfId="2" applyNumberFormat="1" applyFont="1" applyFill="1" applyBorder="1" applyAlignment="1">
      <alignment horizontal="center"/>
    </xf>
    <xf numFmtId="0" fontId="18" fillId="0" borderId="0" xfId="6" applyFill="1" applyAlignment="1" applyProtection="1"/>
    <xf numFmtId="0" fontId="65" fillId="0" borderId="0" xfId="6" applyFont="1" applyFill="1" applyAlignment="1" applyProtection="1"/>
    <xf numFmtId="0" fontId="66" fillId="0" borderId="0" xfId="0" applyFont="1"/>
    <xf numFmtId="0" fontId="21" fillId="0" borderId="28" xfId="0" applyFont="1" applyBorder="1" applyAlignment="1">
      <alignment horizontal="right"/>
    </xf>
    <xf numFmtId="0" fontId="21" fillId="0" borderId="29" xfId="0" applyFont="1" applyBorder="1" applyAlignment="1">
      <alignment horizontal="left"/>
    </xf>
    <xf numFmtId="0" fontId="21" fillId="0" borderId="19" xfId="0" applyFont="1" applyBorder="1" applyAlignment="1">
      <alignment horizontal="right"/>
    </xf>
    <xf numFmtId="0" fontId="21" fillId="0" borderId="20" xfId="0" applyFont="1" applyBorder="1" applyAlignment="1">
      <alignment horizontal="left"/>
    </xf>
    <xf numFmtId="0" fontId="21" fillId="0" borderId="21" xfId="0" applyFont="1" applyBorder="1" applyAlignment="1">
      <alignment horizontal="right"/>
    </xf>
    <xf numFmtId="0" fontId="21" fillId="0" borderId="22" xfId="0" applyFont="1" applyBorder="1" applyAlignment="1">
      <alignment horizontal="left"/>
    </xf>
    <xf numFmtId="168" fontId="34" fillId="0" borderId="26" xfId="2" applyNumberFormat="1" applyFont="1" applyFill="1" applyBorder="1" applyAlignment="1">
      <alignment horizontal="center"/>
    </xf>
    <xf numFmtId="10" fontId="46" fillId="0" borderId="15" xfId="2" applyNumberFormat="1" applyFont="1" applyFill="1" applyBorder="1" applyAlignment="1">
      <alignment horizontal="center"/>
    </xf>
    <xf numFmtId="10" fontId="22" fillId="0" borderId="9" xfId="2" applyNumberFormat="1" applyFont="1" applyFill="1" applyBorder="1" applyAlignment="1">
      <alignment horizontal="center"/>
    </xf>
    <xf numFmtId="10" fontId="22" fillId="0" borderId="9" xfId="1" applyNumberFormat="1" applyFont="1" applyFill="1" applyBorder="1" applyAlignment="1">
      <alignment horizontal="center"/>
    </xf>
    <xf numFmtId="164" fontId="38" fillId="0" borderId="2" xfId="1" applyNumberFormat="1" applyFont="1" applyFill="1" applyBorder="1"/>
    <xf numFmtId="3" fontId="38" fillId="0" borderId="2" xfId="0" applyNumberFormat="1" applyFont="1" applyBorder="1"/>
    <xf numFmtId="10" fontId="38" fillId="0" borderId="2" xfId="2" applyNumberFormat="1" applyFont="1" applyFill="1" applyBorder="1"/>
    <xf numFmtId="10" fontId="38" fillId="0" borderId="13" xfId="2" applyNumberFormat="1" applyFont="1" applyFill="1" applyBorder="1"/>
    <xf numFmtId="0" fontId="38" fillId="0" borderId="3" xfId="0" applyFont="1" applyBorder="1"/>
    <xf numFmtId="0" fontId="51" fillId="0" borderId="17" xfId="0" applyFont="1" applyBorder="1" applyAlignment="1">
      <alignment horizontal="center"/>
    </xf>
    <xf numFmtId="0" fontId="51" fillId="0" borderId="27" xfId="0" applyFont="1" applyBorder="1"/>
    <xf numFmtId="0" fontId="51" fillId="0" borderId="18" xfId="0" applyFont="1" applyBorder="1" applyAlignment="1">
      <alignment horizontal="center"/>
    </xf>
    <xf numFmtId="164" fontId="51" fillId="0" borderId="21" xfId="1" applyNumberFormat="1" applyFont="1" applyFill="1" applyBorder="1"/>
    <xf numFmtId="164" fontId="51" fillId="0" borderId="22" xfId="1" applyNumberFormat="1" applyFont="1" applyFill="1" applyBorder="1"/>
    <xf numFmtId="10" fontId="38" fillId="0" borderId="0" xfId="2" applyNumberFormat="1" applyFont="1" applyFill="1" applyAlignment="1">
      <alignment horizontal="right"/>
    </xf>
    <xf numFmtId="0" fontId="34" fillId="0" borderId="4" xfId="0" applyFont="1" applyBorder="1" applyAlignment="1">
      <alignment horizontal="center"/>
    </xf>
    <xf numFmtId="2" fontId="38" fillId="0" borderId="37" xfId="0" applyNumberFormat="1" applyFont="1" applyBorder="1" applyAlignment="1">
      <alignment horizontal="center"/>
    </xf>
    <xf numFmtId="165" fontId="22" fillId="0" borderId="0" xfId="3" applyNumberFormat="1" applyFont="1" applyFill="1" applyAlignment="1">
      <alignment horizontal="center"/>
    </xf>
    <xf numFmtId="164" fontId="53" fillId="0" borderId="0" xfId="1" applyNumberFormat="1" applyFont="1"/>
    <xf numFmtId="0" fontId="27" fillId="0" borderId="0" xfId="0" applyFont="1" applyAlignment="1">
      <alignment horizontal="center" vertical="center"/>
    </xf>
    <xf numFmtId="0" fontId="27" fillId="0" borderId="0" xfId="0" applyFont="1" applyAlignment="1">
      <alignment horizontal="center"/>
    </xf>
    <xf numFmtId="17" fontId="19" fillId="0" borderId="0" xfId="0" applyNumberFormat="1" applyFont="1"/>
    <xf numFmtId="166" fontId="22" fillId="0" borderId="1" xfId="1" applyNumberFormat="1" applyFont="1" applyFill="1" applyBorder="1" applyAlignment="1">
      <alignment horizontal="center" vertical="center"/>
    </xf>
    <xf numFmtId="166" fontId="22" fillId="0" borderId="0" xfId="1" applyNumberFormat="1" applyFont="1" applyFill="1" applyAlignment="1">
      <alignment horizontal="center" vertical="center"/>
    </xf>
    <xf numFmtId="164" fontId="45" fillId="0" borderId="0" xfId="1" applyNumberFormat="1" applyFont="1" applyFill="1" applyBorder="1"/>
    <xf numFmtId="10" fontId="34" fillId="0" borderId="1" xfId="2" applyNumberFormat="1" applyFont="1" applyFill="1" applyBorder="1"/>
    <xf numFmtId="3" fontId="38" fillId="0" borderId="9" xfId="0" applyNumberFormat="1" applyFont="1" applyBorder="1"/>
    <xf numFmtId="3" fontId="38" fillId="0" borderId="3" xfId="0" applyNumberFormat="1" applyFont="1" applyBorder="1"/>
    <xf numFmtId="3" fontId="51" fillId="0" borderId="19" xfId="0" applyNumberFormat="1" applyFont="1" applyBorder="1" applyAlignment="1">
      <alignment horizontal="right"/>
    </xf>
    <xf numFmtId="0" fontId="2" fillId="0" borderId="25" xfId="0" applyFont="1" applyBorder="1"/>
    <xf numFmtId="3" fontId="51" fillId="0" borderId="20" xfId="0" applyNumberFormat="1" applyFont="1" applyBorder="1" applyAlignment="1">
      <alignment horizontal="right"/>
    </xf>
    <xf numFmtId="164" fontId="51" fillId="0" borderId="20" xfId="1" applyNumberFormat="1" applyFont="1" applyFill="1" applyBorder="1" applyAlignment="1">
      <alignment horizontal="right"/>
    </xf>
    <xf numFmtId="164" fontId="51" fillId="0" borderId="19" xfId="1" applyNumberFormat="1" applyFont="1" applyFill="1" applyBorder="1"/>
    <xf numFmtId="0" fontId="64" fillId="0" borderId="25" xfId="0" applyFont="1" applyBorder="1"/>
    <xf numFmtId="164" fontId="51" fillId="0" borderId="20" xfId="1" applyNumberFormat="1" applyFont="1" applyFill="1" applyBorder="1"/>
    <xf numFmtId="0" fontId="2" fillId="0" borderId="26" xfId="0" applyFont="1" applyBorder="1"/>
    <xf numFmtId="10" fontId="22" fillId="0" borderId="0" xfId="2" applyNumberFormat="1" applyFont="1" applyFill="1" applyAlignment="1">
      <alignment horizontal="right" vertical="center"/>
    </xf>
    <xf numFmtId="10" fontId="22" fillId="0" borderId="1" xfId="2" applyNumberFormat="1" applyFont="1" applyFill="1" applyBorder="1" applyAlignment="1">
      <alignment horizontal="right" vertical="center"/>
    </xf>
    <xf numFmtId="2" fontId="22" fillId="0" borderId="0" xfId="0" applyNumberFormat="1" applyFont="1" applyAlignment="1">
      <alignment horizontal="right" vertical="center"/>
    </xf>
    <xf numFmtId="2" fontId="22" fillId="0" borderId="1" xfId="0" applyNumberFormat="1" applyFont="1" applyBorder="1" applyAlignment="1">
      <alignment horizontal="right" vertical="center"/>
    </xf>
    <xf numFmtId="43" fontId="22" fillId="0" borderId="0" xfId="1" applyFont="1" applyFill="1" applyAlignment="1">
      <alignment horizontal="center"/>
    </xf>
    <xf numFmtId="43" fontId="22" fillId="0" borderId="1" xfId="1" applyFont="1" applyFill="1" applyBorder="1" applyAlignment="1"/>
    <xf numFmtId="43" fontId="38" fillId="0" borderId="15" xfId="1" applyFont="1" applyFill="1" applyBorder="1"/>
    <xf numFmtId="2" fontId="36" fillId="0" borderId="17" xfId="0" applyNumberFormat="1" applyFont="1" applyBorder="1"/>
    <xf numFmtId="10" fontId="36" fillId="0" borderId="27" xfId="2" applyNumberFormat="1" applyFont="1" applyFill="1" applyBorder="1"/>
    <xf numFmtId="43" fontId="36" fillId="0" borderId="27" xfId="1" applyFont="1" applyFill="1" applyBorder="1"/>
    <xf numFmtId="0" fontId="36" fillId="0" borderId="27" xfId="0" applyFont="1" applyBorder="1"/>
    <xf numFmtId="2" fontId="36" fillId="0" borderId="27" xfId="0" applyNumberFormat="1" applyFont="1" applyBorder="1"/>
    <xf numFmtId="10" fontId="27" fillId="0" borderId="0" xfId="2" applyNumberFormat="1" applyFont="1" applyFill="1" applyAlignment="1">
      <alignment horizontal="center"/>
    </xf>
    <xf numFmtId="168" fontId="68" fillId="0" borderId="25" xfId="0" applyNumberFormat="1" applyFont="1" applyBorder="1" applyAlignment="1">
      <alignment horizontal="center" vertical="center"/>
    </xf>
    <xf numFmtId="10" fontId="69" fillId="0" borderId="9" xfId="2" applyNumberFormat="1" applyFont="1" applyFill="1" applyBorder="1" applyAlignment="1">
      <alignment horizontal="center" vertical="center"/>
    </xf>
    <xf numFmtId="10" fontId="69" fillId="0" borderId="0" xfId="2" applyNumberFormat="1" applyFont="1" applyFill="1" applyBorder="1" applyAlignment="1">
      <alignment horizontal="center" vertical="center"/>
    </xf>
    <xf numFmtId="2" fontId="38" fillId="0" borderId="3" xfId="0" applyNumberFormat="1" applyFont="1" applyBorder="1" applyAlignment="1">
      <alignment horizontal="center"/>
    </xf>
    <xf numFmtId="2" fontId="38" fillId="0" borderId="2" xfId="0" applyNumberFormat="1" applyFont="1" applyBorder="1" applyAlignment="1">
      <alignment horizontal="center"/>
    </xf>
    <xf numFmtId="2" fontId="22" fillId="0" borderId="0" xfId="0" applyNumberFormat="1" applyFont="1" applyAlignment="1">
      <alignment horizontal="right"/>
    </xf>
    <xf numFmtId="0" fontId="19" fillId="0" borderId="4" xfId="0" applyFont="1" applyBorder="1" applyAlignment="1">
      <alignment horizontal="right"/>
    </xf>
    <xf numFmtId="0" fontId="38" fillId="0" borderId="17" xfId="0" applyFont="1" applyBorder="1"/>
    <xf numFmtId="10" fontId="27" fillId="0" borderId="0" xfId="2" applyNumberFormat="1" applyFont="1" applyFill="1" applyAlignment="1">
      <alignment horizontal="right"/>
    </xf>
    <xf numFmtId="0" fontId="28" fillId="0" borderId="3" xfId="0" applyFont="1" applyBorder="1" applyAlignment="1">
      <alignment horizontal="center"/>
    </xf>
    <xf numFmtId="0" fontId="34" fillId="3" borderId="38" xfId="0" applyFont="1" applyFill="1" applyBorder="1"/>
    <xf numFmtId="10" fontId="38" fillId="3" borderId="38" xfId="2" applyNumberFormat="1" applyFont="1" applyFill="1" applyBorder="1" applyAlignment="1">
      <alignment horizontal="center"/>
    </xf>
    <xf numFmtId="0" fontId="19" fillId="0" borderId="19" xfId="0" applyFont="1" applyBorder="1"/>
    <xf numFmtId="0" fontId="34" fillId="3" borderId="19" xfId="0" applyFont="1" applyFill="1" applyBorder="1"/>
    <xf numFmtId="10" fontId="38" fillId="3" borderId="19" xfId="2" applyNumberFormat="1" applyFont="1" applyFill="1" applyBorder="1" applyAlignment="1">
      <alignment horizontal="center"/>
    </xf>
    <xf numFmtId="0" fontId="38" fillId="2" borderId="21" xfId="0" applyFont="1" applyFill="1" applyBorder="1"/>
    <xf numFmtId="2" fontId="38" fillId="0" borderId="0" xfId="0" applyNumberFormat="1" applyFont="1" applyAlignment="1">
      <alignment horizontal="right"/>
    </xf>
    <xf numFmtId="2" fontId="27" fillId="0" borderId="0" xfId="0" applyNumberFormat="1" applyFont="1" applyAlignment="1">
      <alignment horizontal="right"/>
    </xf>
    <xf numFmtId="10" fontId="21" fillId="0" borderId="0" xfId="0" applyNumberFormat="1" applyFont="1" applyAlignment="1">
      <alignment horizontal="right"/>
    </xf>
    <xf numFmtId="10" fontId="27" fillId="0" borderId="0" xfId="0" applyNumberFormat="1" applyFont="1" applyAlignment="1">
      <alignment horizontal="right"/>
    </xf>
    <xf numFmtId="2" fontId="22" fillId="0" borderId="4" xfId="0" applyNumberFormat="1" applyFont="1" applyBorder="1" applyAlignment="1">
      <alignment horizontal="right"/>
    </xf>
    <xf numFmtId="10" fontId="21" fillId="0" borderId="4" xfId="0" applyNumberFormat="1" applyFont="1" applyBorder="1" applyAlignment="1">
      <alignment horizontal="right"/>
    </xf>
    <xf numFmtId="1" fontId="22" fillId="0" borderId="0" xfId="0" applyNumberFormat="1" applyFont="1" applyAlignment="1">
      <alignment horizontal="right"/>
    </xf>
    <xf numFmtId="165" fontId="21" fillId="0" borderId="0" xfId="3" applyNumberFormat="1" applyFont="1" applyFill="1"/>
    <xf numFmtId="0" fontId="67" fillId="0" borderId="23" xfId="0" applyFont="1" applyBorder="1" applyAlignment="1">
      <alignment horizontal="center" wrapText="1"/>
    </xf>
    <xf numFmtId="10" fontId="22" fillId="0" borderId="23" xfId="2" applyNumberFormat="1" applyFont="1" applyFill="1" applyBorder="1" applyAlignment="1">
      <alignment horizontal="center"/>
    </xf>
    <xf numFmtId="10" fontId="22" fillId="0" borderId="3" xfId="2" applyNumberFormat="1" applyFont="1" applyFill="1" applyBorder="1" applyAlignment="1">
      <alignment horizontal="center"/>
    </xf>
    <xf numFmtId="10" fontId="22" fillId="0" borderId="3" xfId="1" applyNumberFormat="1" applyFont="1" applyFill="1" applyBorder="1" applyAlignment="1">
      <alignment horizontal="center"/>
    </xf>
    <xf numFmtId="10" fontId="22" fillId="0" borderId="23" xfId="1" applyNumberFormat="1" applyFont="1" applyFill="1" applyBorder="1" applyAlignment="1">
      <alignment horizontal="center"/>
    </xf>
    <xf numFmtId="0" fontId="61" fillId="0" borderId="23" xfId="0" applyFont="1" applyBorder="1"/>
    <xf numFmtId="0" fontId="61" fillId="0" borderId="9" xfId="0" applyFont="1" applyBorder="1"/>
    <xf numFmtId="0" fontId="61" fillId="0" borderId="3" xfId="0" applyFont="1" applyBorder="1"/>
    <xf numFmtId="0" fontId="61" fillId="0" borderId="15" xfId="0" applyFont="1" applyBorder="1"/>
    <xf numFmtId="0" fontId="36" fillId="0" borderId="15" xfId="0" applyFont="1" applyBorder="1" applyAlignment="1">
      <alignment horizontal="center"/>
    </xf>
    <xf numFmtId="0" fontId="19" fillId="0" borderId="8" xfId="0" applyFont="1" applyBorder="1"/>
    <xf numFmtId="0" fontId="19" fillId="0" borderId="13" xfId="0" applyFont="1" applyBorder="1"/>
    <xf numFmtId="10" fontId="38" fillId="2" borderId="19" xfId="2" applyNumberFormat="1" applyFont="1" applyFill="1" applyBorder="1" applyAlignment="1">
      <alignment horizontal="center"/>
    </xf>
    <xf numFmtId="0" fontId="34" fillId="3" borderId="25" xfId="0" applyFont="1" applyFill="1" applyBorder="1"/>
    <xf numFmtId="0" fontId="38" fillId="3" borderId="25" xfId="0" applyFont="1" applyFill="1" applyBorder="1"/>
    <xf numFmtId="0" fontId="38" fillId="2" borderId="25" xfId="0" applyFont="1" applyFill="1" applyBorder="1"/>
    <xf numFmtId="0" fontId="34" fillId="3" borderId="26" xfId="0" applyFont="1" applyFill="1" applyBorder="1"/>
    <xf numFmtId="0" fontId="37" fillId="2" borderId="0" xfId="0" applyFont="1" applyFill="1" applyAlignment="1">
      <alignment horizontal="center"/>
    </xf>
    <xf numFmtId="0" fontId="19" fillId="2" borderId="39" xfId="0" applyFont="1" applyFill="1" applyBorder="1" applyAlignment="1">
      <alignment horizontal="center"/>
    </xf>
    <xf numFmtId="0" fontId="37" fillId="2" borderId="1" xfId="0" applyFont="1" applyFill="1" applyBorder="1" applyAlignment="1">
      <alignment horizontal="center"/>
    </xf>
    <xf numFmtId="0" fontId="19" fillId="2" borderId="40" xfId="0" applyFont="1" applyFill="1" applyBorder="1" applyAlignment="1">
      <alignment horizontal="center"/>
    </xf>
    <xf numFmtId="0" fontId="19" fillId="2" borderId="41" xfId="0" applyFont="1" applyFill="1" applyBorder="1" applyAlignment="1">
      <alignment horizontal="center"/>
    </xf>
    <xf numFmtId="10" fontId="24" fillId="0" borderId="15" xfId="2" applyNumberFormat="1" applyFont="1" applyFill="1" applyBorder="1" applyAlignment="1">
      <alignment horizontal="center"/>
    </xf>
    <xf numFmtId="2" fontId="24" fillId="0" borderId="15" xfId="0" applyNumberFormat="1" applyFont="1" applyBorder="1" applyAlignment="1">
      <alignment horizontal="center"/>
    </xf>
    <xf numFmtId="2" fontId="24" fillId="0" borderId="15" xfId="0" applyNumberFormat="1" applyFont="1" applyBorder="1" applyAlignment="1">
      <alignment horizontal="center" vertical="center"/>
    </xf>
    <xf numFmtId="10" fontId="24" fillId="0" borderId="15" xfId="2" applyNumberFormat="1" applyFont="1" applyFill="1" applyBorder="1" applyAlignment="1">
      <alignment horizontal="center" vertical="center"/>
    </xf>
    <xf numFmtId="10" fontId="23" fillId="0" borderId="15" xfId="2" applyNumberFormat="1" applyFont="1" applyFill="1" applyBorder="1"/>
    <xf numFmtId="10" fontId="23" fillId="0" borderId="15" xfId="2" applyNumberFormat="1" applyFont="1" applyFill="1" applyBorder="1" applyAlignment="1">
      <alignment horizontal="center"/>
    </xf>
    <xf numFmtId="43" fontId="24" fillId="0" borderId="15" xfId="1" applyFont="1" applyFill="1" applyBorder="1" applyAlignment="1">
      <alignment horizontal="center" vertical="center"/>
    </xf>
    <xf numFmtId="10" fontId="38" fillId="0" borderId="15" xfId="2" applyNumberFormat="1" applyFont="1" applyFill="1" applyBorder="1"/>
    <xf numFmtId="10" fontId="71" fillId="0" borderId="0" xfId="2" applyNumberFormat="1" applyFont="1" applyFill="1" applyAlignment="1">
      <alignment horizontal="center"/>
    </xf>
    <xf numFmtId="10" fontId="28" fillId="0" borderId="0" xfId="2" applyNumberFormat="1" applyFont="1" applyAlignment="1">
      <alignment horizontal="left"/>
    </xf>
    <xf numFmtId="0" fontId="21" fillId="0" borderId="0" xfId="0" applyFont="1" applyAlignment="1">
      <alignment horizontal="left"/>
    </xf>
    <xf numFmtId="168" fontId="34" fillId="0" borderId="24" xfId="2" applyNumberFormat="1" applyFont="1" applyFill="1" applyBorder="1" applyAlignment="1">
      <alignment horizontal="center"/>
    </xf>
    <xf numFmtId="169" fontId="28" fillId="0" borderId="15" xfId="2" applyNumberFormat="1" applyFont="1" applyFill="1" applyBorder="1" applyAlignment="1">
      <alignment horizontal="center"/>
    </xf>
    <xf numFmtId="10" fontId="42" fillId="0" borderId="15" xfId="2" applyNumberFormat="1"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0" fillId="0" borderId="0" xfId="0" applyFont="1" applyAlignment="1">
      <alignment horizontal="left" vertical="top" wrapText="1"/>
    </xf>
    <xf numFmtId="10" fontId="38" fillId="3" borderId="21" xfId="2" applyNumberFormat="1" applyFont="1" applyFill="1" applyBorder="1" applyAlignment="1">
      <alignment horizontal="center"/>
    </xf>
    <xf numFmtId="10" fontId="38" fillId="2" borderId="21" xfId="2" applyNumberFormat="1" applyFont="1" applyFill="1" applyBorder="1" applyAlignment="1">
      <alignment horizontal="center"/>
    </xf>
    <xf numFmtId="10" fontId="38" fillId="0" borderId="17" xfId="2" applyNumberFormat="1" applyFont="1" applyFill="1" applyBorder="1" applyAlignment="1">
      <alignment horizontal="center"/>
    </xf>
    <xf numFmtId="0" fontId="0" fillId="0" borderId="19" xfId="0" applyBorder="1"/>
    <xf numFmtId="0" fontId="70" fillId="0" borderId="19" xfId="0" applyFont="1" applyBorder="1"/>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177799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257175</xdr:colOff>
      <xdr:row>52</xdr:row>
      <xdr:rowOff>142875</xdr:rowOff>
    </xdr:to>
    <xdr:pic>
      <xdr:nvPicPr>
        <xdr:cNvPr id="4" name="Picture 3">
          <a:extLst>
            <a:ext uri="{FF2B5EF4-FFF2-40B4-BE49-F238E27FC236}">
              <a16:creationId xmlns:a16="http://schemas.microsoft.com/office/drawing/2014/main" id="{83A42AD1-E3C2-4241-8423-41989E88AC2E}"/>
            </a:ext>
          </a:extLst>
        </xdr:cNvPr>
        <xdr:cNvPicPr>
          <a:picLocks noChangeAspect="1"/>
        </xdr:cNvPicPr>
      </xdr:nvPicPr>
      <xdr:blipFill>
        <a:blip xmlns:r="http://schemas.openxmlformats.org/officeDocument/2006/relationships" r:embed="rId1"/>
        <a:stretch>
          <a:fillRect/>
        </a:stretch>
      </xdr:blipFill>
      <xdr:spPr>
        <a:xfrm>
          <a:off x="609600" y="190500"/>
          <a:ext cx="7572375" cy="9858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G24" sqref="G24"/>
    </sheetView>
  </sheetViews>
  <sheetFormatPr defaultRowHeight="15"/>
  <cols>
    <col min="5" max="5" width="12.28515625" customWidth="1"/>
    <col min="9" max="9" width="16.42578125" customWidth="1"/>
  </cols>
  <sheetData>
    <row r="1" spans="1:13" ht="18.75">
      <c r="A1" s="467" t="s">
        <v>0</v>
      </c>
      <c r="B1" s="468"/>
      <c r="C1" s="468"/>
      <c r="D1" s="468"/>
      <c r="E1" s="468"/>
      <c r="F1" s="468"/>
      <c r="G1" s="468"/>
      <c r="H1" s="468"/>
      <c r="I1" s="468"/>
    </row>
    <row r="5" spans="1:13" ht="27">
      <c r="E5" s="469" t="s">
        <v>0</v>
      </c>
      <c r="F5" s="470"/>
      <c r="G5" s="470"/>
      <c r="H5" s="470"/>
      <c r="I5" s="470"/>
      <c r="J5" s="470"/>
      <c r="K5" s="470"/>
      <c r="L5" s="470"/>
      <c r="M5" s="470"/>
    </row>
    <row r="7" spans="1:13" ht="27">
      <c r="A7" s="471" t="s">
        <v>30</v>
      </c>
      <c r="B7" s="472"/>
      <c r="C7" s="472"/>
      <c r="D7" s="472"/>
      <c r="E7" s="472"/>
      <c r="F7" s="472"/>
      <c r="G7" s="472"/>
      <c r="H7" s="472"/>
      <c r="I7" s="472"/>
    </row>
    <row r="8" spans="1:13" ht="27">
      <c r="A8" s="6"/>
      <c r="B8" s="7"/>
      <c r="C8" s="7"/>
      <c r="D8" s="7"/>
      <c r="E8" s="469" t="s">
        <v>0</v>
      </c>
      <c r="F8" s="470"/>
      <c r="G8" s="470"/>
      <c r="H8" s="470"/>
      <c r="I8" s="470"/>
      <c r="J8" s="470"/>
      <c r="K8" s="470"/>
      <c r="L8" s="470"/>
      <c r="M8" s="470"/>
    </row>
    <row r="9" spans="1:13" ht="27">
      <c r="A9" s="469" t="s">
        <v>75</v>
      </c>
      <c r="B9" s="470"/>
      <c r="C9" s="470"/>
      <c r="D9" s="470"/>
      <c r="E9" s="470"/>
      <c r="F9" s="470"/>
      <c r="G9" s="470"/>
      <c r="H9" s="470"/>
      <c r="I9" s="470"/>
    </row>
    <row r="15" spans="1:13">
      <c r="A15" s="464" t="s">
        <v>0</v>
      </c>
      <c r="B15" s="465"/>
      <c r="C15" s="465"/>
      <c r="D15" s="465"/>
      <c r="E15" s="465"/>
      <c r="F15" s="465"/>
      <c r="G15" s="465"/>
      <c r="H15" s="465"/>
      <c r="I15" s="465"/>
    </row>
    <row r="16" spans="1:13" ht="33.75">
      <c r="A16" s="462" t="str">
        <f>+'S&amp;D'!A12</f>
        <v>Air Freight Carriers</v>
      </c>
      <c r="B16" s="463"/>
      <c r="C16" s="463"/>
      <c r="D16" s="463"/>
      <c r="E16" s="463"/>
      <c r="F16" s="463"/>
      <c r="G16" s="463"/>
      <c r="H16" s="463"/>
      <c r="I16" s="463"/>
    </row>
    <row r="17" spans="1:9">
      <c r="A17" s="464" t="s">
        <v>0</v>
      </c>
      <c r="B17" s="465"/>
      <c r="C17" s="465"/>
      <c r="D17" s="465"/>
      <c r="E17" s="465"/>
      <c r="F17" s="465"/>
      <c r="G17" s="465"/>
      <c r="H17" s="465"/>
      <c r="I17" s="465"/>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64" t="s">
        <v>0</v>
      </c>
      <c r="B29" s="465"/>
      <c r="C29" s="465"/>
      <c r="D29" s="465"/>
      <c r="E29" s="465"/>
      <c r="F29" s="465"/>
      <c r="G29" s="465"/>
      <c r="H29" s="465"/>
      <c r="I29" s="465"/>
    </row>
    <row r="34" spans="1:9">
      <c r="A34" s="466"/>
      <c r="B34" s="466"/>
      <c r="C34" s="466"/>
      <c r="D34" s="466"/>
      <c r="E34" s="466"/>
      <c r="F34" s="466"/>
      <c r="G34" s="466"/>
      <c r="H34" s="466"/>
      <c r="I34" s="466"/>
    </row>
    <row r="35" spans="1:9">
      <c r="A35" s="466"/>
      <c r="B35" s="466"/>
      <c r="C35" s="466"/>
      <c r="D35" s="466"/>
      <c r="E35" s="466"/>
      <c r="F35" s="466"/>
      <c r="G35" s="466"/>
      <c r="H35" s="466"/>
      <c r="I35" s="466"/>
    </row>
    <row r="36" spans="1:9">
      <c r="A36" s="466"/>
      <c r="B36" s="466"/>
      <c r="C36" s="466"/>
      <c r="D36" s="466"/>
      <c r="E36" s="466"/>
      <c r="F36" s="466"/>
      <c r="G36" s="466"/>
      <c r="H36" s="466"/>
      <c r="I36" s="466"/>
    </row>
    <row r="37" spans="1:9">
      <c r="A37" s="466"/>
      <c r="B37" s="466"/>
      <c r="C37" s="466"/>
      <c r="D37" s="466"/>
      <c r="E37" s="466"/>
      <c r="F37" s="466"/>
      <c r="G37" s="466"/>
      <c r="H37" s="466"/>
      <c r="I37" s="466"/>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L36"/>
  <sheetViews>
    <sheetView view="pageBreakPreview" zoomScale="70" zoomScaleNormal="80" zoomScaleSheetLayoutView="70" workbookViewId="0">
      <selection activeCell="J27" sqref="J27"/>
    </sheetView>
  </sheetViews>
  <sheetFormatPr defaultRowHeight="15"/>
  <cols>
    <col min="1" max="1" width="48.28515625" customWidth="1"/>
    <col min="2" max="2" width="10.85546875" bestFit="1" customWidth="1"/>
    <col min="3" max="3" width="23"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 min="12" max="12" width="14.85546875" bestFit="1" customWidth="1"/>
  </cols>
  <sheetData>
    <row r="1" spans="1:11" ht="20.25">
      <c r="A1" s="21" t="s">
        <v>1</v>
      </c>
      <c r="B1" s="10"/>
      <c r="C1" s="10"/>
      <c r="D1" s="10"/>
      <c r="E1" s="10"/>
      <c r="F1" s="10"/>
      <c r="G1" s="10"/>
      <c r="H1" s="10"/>
      <c r="I1" s="10"/>
      <c r="J1" s="10"/>
      <c r="K1" s="10"/>
    </row>
    <row r="2" spans="1:11" ht="15.75">
      <c r="A2" s="22" t="s">
        <v>9</v>
      </c>
      <c r="B2" s="10"/>
      <c r="C2" s="10"/>
      <c r="D2" s="10"/>
      <c r="E2" s="10"/>
      <c r="F2" s="10"/>
      <c r="G2" s="10"/>
      <c r="H2" s="10"/>
      <c r="I2" s="10"/>
      <c r="J2" s="10"/>
      <c r="K2" s="10"/>
    </row>
    <row r="3" spans="1:11">
      <c r="A3" s="23" t="s">
        <v>62</v>
      </c>
      <c r="B3" s="10"/>
      <c r="C3" s="10"/>
      <c r="D3" s="10"/>
      <c r="E3" s="10"/>
      <c r="F3" s="10"/>
      <c r="G3" s="10"/>
      <c r="H3" s="10"/>
      <c r="I3" s="10"/>
      <c r="J3" s="10"/>
      <c r="K3" s="10"/>
    </row>
    <row r="4" spans="1:11">
      <c r="A4" s="23"/>
      <c r="B4" s="10"/>
      <c r="C4" s="10"/>
      <c r="D4" s="10"/>
      <c r="E4" s="10"/>
      <c r="F4" s="10"/>
      <c r="G4" s="10"/>
      <c r="H4" s="10"/>
      <c r="I4" s="10"/>
      <c r="J4" s="10"/>
      <c r="K4" s="10"/>
    </row>
    <row r="5" spans="1:11" ht="15.75" thickBot="1">
      <c r="A5" s="10"/>
      <c r="B5" s="10"/>
      <c r="C5" s="10"/>
      <c r="D5" s="10"/>
      <c r="E5" s="10"/>
      <c r="F5" s="24" t="s">
        <v>0</v>
      </c>
      <c r="G5" s="24"/>
      <c r="H5" s="10"/>
      <c r="I5" s="10"/>
      <c r="J5" s="10"/>
      <c r="K5" s="10"/>
    </row>
    <row r="6" spans="1:11" ht="18.75" thickBot="1">
      <c r="A6" s="266" t="str">
        <f>+'S&amp;D'!A12</f>
        <v>Air Freight Carriers</v>
      </c>
      <c r="B6" s="200"/>
      <c r="C6" s="46"/>
      <c r="D6" s="26"/>
      <c r="E6" s="26"/>
      <c r="F6" s="26"/>
      <c r="G6" s="10"/>
      <c r="H6" s="10"/>
      <c r="I6" s="10"/>
      <c r="J6" s="10"/>
      <c r="K6" s="10"/>
    </row>
    <row r="7" spans="1:11" ht="20.25">
      <c r="A7" s="28"/>
      <c r="B7" s="10"/>
      <c r="C7" s="10"/>
      <c r="D7" s="10"/>
      <c r="E7" s="29" t="s">
        <v>194</v>
      </c>
      <c r="F7" s="10"/>
      <c r="G7" s="10"/>
      <c r="H7" s="10"/>
      <c r="I7" s="10"/>
      <c r="J7" s="10"/>
      <c r="K7" s="10"/>
    </row>
    <row r="8" spans="1:11" ht="15.75" thickBot="1">
      <c r="A8" s="38" t="s">
        <v>0</v>
      </c>
      <c r="B8" s="38" t="s">
        <v>0</v>
      </c>
      <c r="C8" s="38" t="s">
        <v>0</v>
      </c>
      <c r="D8" s="31" t="s">
        <v>0</v>
      </c>
      <c r="E8" s="30" t="s">
        <v>76</v>
      </c>
      <c r="F8" s="31" t="s">
        <v>0</v>
      </c>
      <c r="G8" s="38"/>
      <c r="H8" s="38" t="s">
        <v>0</v>
      </c>
      <c r="I8" s="38" t="s">
        <v>0</v>
      </c>
      <c r="J8" s="10"/>
      <c r="K8" s="10"/>
    </row>
    <row r="9" spans="1:11">
      <c r="A9" s="38"/>
      <c r="B9" s="38"/>
      <c r="H9" s="38"/>
      <c r="I9" s="38"/>
      <c r="J9" s="10"/>
      <c r="K9" s="10"/>
    </row>
    <row r="10" spans="1:11">
      <c r="A10" s="38"/>
      <c r="B10" s="38"/>
      <c r="C10" t="s">
        <v>0</v>
      </c>
      <c r="D10" t="s">
        <v>0</v>
      </c>
      <c r="E10" s="11" t="s">
        <v>0</v>
      </c>
      <c r="H10" s="38"/>
      <c r="I10" s="38"/>
      <c r="J10" s="10"/>
      <c r="K10" s="10"/>
    </row>
    <row r="11" spans="1:11">
      <c r="A11" s="38"/>
      <c r="B11" s="38"/>
      <c r="E11" t="s">
        <v>0</v>
      </c>
      <c r="G11" t="s">
        <v>0</v>
      </c>
      <c r="H11" s="38"/>
      <c r="I11" s="38"/>
      <c r="J11" s="10"/>
      <c r="K11" s="10"/>
    </row>
    <row r="12" spans="1:11" ht="15.75" thickBot="1">
      <c r="A12" s="31"/>
      <c r="B12" s="31"/>
      <c r="C12" s="153"/>
      <c r="D12" s="153"/>
      <c r="E12" s="153"/>
      <c r="F12" s="153"/>
      <c r="G12" s="153"/>
      <c r="H12" s="31"/>
      <c r="I12" s="31"/>
      <c r="J12" s="26"/>
      <c r="K12" s="10"/>
    </row>
    <row r="13" spans="1:11" ht="11.25" customHeight="1" thickBot="1">
      <c r="A13" s="31" t="s">
        <v>24</v>
      </c>
      <c r="B13" s="31" t="s">
        <v>91</v>
      </c>
      <c r="C13" s="31" t="s">
        <v>92</v>
      </c>
      <c r="D13" s="39" t="s">
        <v>93</v>
      </c>
      <c r="E13" s="31" t="s">
        <v>94</v>
      </c>
      <c r="F13" s="31" t="s">
        <v>95</v>
      </c>
      <c r="G13" s="31" t="s">
        <v>96</v>
      </c>
      <c r="H13" s="31" t="s">
        <v>97</v>
      </c>
      <c r="I13" s="31" t="s">
        <v>98</v>
      </c>
      <c r="J13" s="31" t="s">
        <v>99</v>
      </c>
      <c r="K13" s="10"/>
    </row>
    <row r="14" spans="1:11">
      <c r="A14" s="32" t="s">
        <v>0</v>
      </c>
      <c r="B14" s="32" t="s">
        <v>3</v>
      </c>
      <c r="C14" s="32" t="s">
        <v>86</v>
      </c>
      <c r="D14" s="32" t="s">
        <v>119</v>
      </c>
      <c r="E14" s="32" t="s">
        <v>120</v>
      </c>
      <c r="F14" s="32" t="s">
        <v>119</v>
      </c>
      <c r="G14" s="32" t="s">
        <v>120</v>
      </c>
      <c r="H14" s="32" t="s">
        <v>19</v>
      </c>
      <c r="I14" s="32" t="s">
        <v>121</v>
      </c>
      <c r="J14" s="32" t="s">
        <v>133</v>
      </c>
      <c r="K14" s="10"/>
    </row>
    <row r="15" spans="1:11" ht="15.75" thickBot="1">
      <c r="A15" s="34" t="s">
        <v>2</v>
      </c>
      <c r="B15" s="34" t="s">
        <v>4</v>
      </c>
      <c r="C15" s="34" t="s">
        <v>118</v>
      </c>
      <c r="D15" s="34" t="s">
        <v>85</v>
      </c>
      <c r="E15" s="34" t="s">
        <v>85</v>
      </c>
      <c r="F15" s="34" t="s">
        <v>86</v>
      </c>
      <c r="G15" s="34" t="s">
        <v>86</v>
      </c>
      <c r="H15" s="34" t="s">
        <v>119</v>
      </c>
      <c r="I15" s="34" t="s">
        <v>122</v>
      </c>
      <c r="J15" s="34" t="s">
        <v>132</v>
      </c>
      <c r="K15" s="10"/>
    </row>
    <row r="16" spans="1:11">
      <c r="A16" s="40" t="s">
        <v>7</v>
      </c>
      <c r="B16" s="40" t="s">
        <v>7</v>
      </c>
      <c r="C16" s="40" t="s">
        <v>135</v>
      </c>
      <c r="D16" s="40" t="s">
        <v>135</v>
      </c>
      <c r="E16" s="40" t="s">
        <v>135</v>
      </c>
      <c r="F16" s="40" t="s">
        <v>135</v>
      </c>
      <c r="G16" s="40" t="s">
        <v>135</v>
      </c>
      <c r="H16" s="40" t="s">
        <v>124</v>
      </c>
      <c r="I16" s="40" t="s">
        <v>123</v>
      </c>
      <c r="J16" s="40" t="s">
        <v>101</v>
      </c>
      <c r="K16" s="10"/>
    </row>
    <row r="17" spans="1:12">
      <c r="A17" s="32"/>
      <c r="B17" s="32"/>
      <c r="C17" s="32"/>
      <c r="D17" s="32"/>
      <c r="E17" s="32"/>
      <c r="F17" s="32"/>
      <c r="G17" s="32"/>
      <c r="H17" s="32"/>
      <c r="I17" s="32"/>
      <c r="J17" s="32"/>
      <c r="K17" s="10"/>
    </row>
    <row r="18" spans="1:12">
      <c r="A18" s="10"/>
      <c r="B18" s="10"/>
      <c r="C18" s="10"/>
      <c r="D18" s="10"/>
      <c r="E18" s="10"/>
      <c r="F18" s="10"/>
      <c r="G18" s="10"/>
      <c r="H18" s="10"/>
      <c r="I18" s="10"/>
      <c r="J18" s="10"/>
      <c r="K18" s="10"/>
    </row>
    <row r="19" spans="1:12" ht="15.75">
      <c r="A19" s="60" t="str">
        <f>+'S&amp;D'!A22</f>
        <v>Air Transport Services Group</v>
      </c>
      <c r="B19" s="86" t="str">
        <f>+'S&amp;D'!B22</f>
        <v>ATSG</v>
      </c>
      <c r="C19" s="370">
        <v>46861000</v>
      </c>
      <c r="D19" s="301">
        <v>1336461944</v>
      </c>
      <c r="E19" s="137">
        <f>1298735000+628000</f>
        <v>1299363000</v>
      </c>
      <c r="F19" s="137">
        <f>+'S&amp;D'!G35</f>
        <v>1416677362.2772887</v>
      </c>
      <c r="G19" s="137">
        <f>+'S&amp;D'!J22</f>
        <v>1464980000</v>
      </c>
      <c r="H19" s="190">
        <f>(D19+F19)/2</f>
        <v>1376569653.1386442</v>
      </c>
      <c r="I19" s="63">
        <f>C19/H19</f>
        <v>3.4041866238409872E-2</v>
      </c>
      <c r="J19" s="43">
        <f>F19/G19</f>
        <v>0.96702846610690163</v>
      </c>
      <c r="K19" s="10"/>
    </row>
    <row r="20" spans="1:12" ht="15.75">
      <c r="A20" s="60" t="str">
        <f>+'S&amp;D'!A23</f>
        <v>Atlas Air</v>
      </c>
      <c r="B20" s="86" t="str">
        <f>+'S&amp;D'!B23</f>
        <v>AAWW</v>
      </c>
      <c r="C20" s="370">
        <v>81692000</v>
      </c>
      <c r="D20" s="301">
        <v>2653782269</v>
      </c>
      <c r="E20" s="137">
        <f>1655075000+639811000</f>
        <v>2294886000</v>
      </c>
      <c r="F20" s="137">
        <f>+'S&amp;D'!G36</f>
        <v>2436198592.2193189</v>
      </c>
      <c r="G20" s="137">
        <f>+'S&amp;D'!J23</f>
        <v>2298168000</v>
      </c>
      <c r="H20" s="190">
        <f t="shared" ref="H20:H22" si="0">(D20+F20)/2</f>
        <v>2544990430.6096592</v>
      </c>
      <c r="I20" s="63">
        <f t="shared" ref="I20:I22" si="1">C20/H20</f>
        <v>3.2099138376889873E-2</v>
      </c>
      <c r="J20" s="43">
        <f t="shared" ref="J20:J22" si="2">F20/G20</f>
        <v>1.0600611409693803</v>
      </c>
      <c r="K20" s="10"/>
    </row>
    <row r="21" spans="1:12" ht="15.75">
      <c r="A21" s="60" t="str">
        <f>+'S&amp;D'!A24</f>
        <v xml:space="preserve">FedEx Corp </v>
      </c>
      <c r="B21" s="86" t="str">
        <f>+'S&amp;D'!B24</f>
        <v>FDX</v>
      </c>
      <c r="C21" s="370">
        <v>590000000</v>
      </c>
      <c r="D21" s="301">
        <v>23680965000</v>
      </c>
      <c r="E21" s="370">
        <v>20503000000</v>
      </c>
      <c r="F21" s="370">
        <f>+'S&amp;D'!G37</f>
        <v>17575675126.903553</v>
      </c>
      <c r="G21" s="370">
        <f>+'S&amp;D'!J24</f>
        <v>20248000000</v>
      </c>
      <c r="H21" s="190">
        <f t="shared" si="0"/>
        <v>20628320063.451775</v>
      </c>
      <c r="I21" s="63">
        <f t="shared" si="1"/>
        <v>2.8601456550275874E-2</v>
      </c>
      <c r="J21" s="43">
        <f t="shared" si="2"/>
        <v>0.86802030456852786</v>
      </c>
      <c r="K21" s="10"/>
      <c r="L21" t="s">
        <v>0</v>
      </c>
    </row>
    <row r="22" spans="1:12" ht="15.75">
      <c r="A22" s="60" t="str">
        <f>+'S&amp;D'!A25</f>
        <v xml:space="preserve">United Parcel Service </v>
      </c>
      <c r="B22" s="86" t="str">
        <f>+'S&amp;D'!B25</f>
        <v>UPS</v>
      </c>
      <c r="C22" s="370">
        <v>704000000</v>
      </c>
      <c r="D22" s="301">
        <v>25100000000</v>
      </c>
      <c r="E22" s="137">
        <f>19784000000+2131000000</f>
        <v>21915000000</v>
      </c>
      <c r="F22" s="137">
        <f>+'S&amp;D'!G38</f>
        <v>18200000000</v>
      </c>
      <c r="G22" s="137">
        <f>+'S&amp;D'!J25</f>
        <v>19662000000</v>
      </c>
      <c r="H22" s="190">
        <f t="shared" si="0"/>
        <v>21650000000</v>
      </c>
      <c r="I22" s="63">
        <f t="shared" si="1"/>
        <v>3.2517321016166278E-2</v>
      </c>
      <c r="J22" s="43">
        <f t="shared" si="2"/>
        <v>0.92564337300376365</v>
      </c>
      <c r="K22" s="10"/>
    </row>
    <row r="23" spans="1:12" ht="15.75" thickBot="1">
      <c r="A23" s="10"/>
      <c r="B23" s="10"/>
      <c r="C23" s="44"/>
      <c r="D23" s="44"/>
      <c r="E23" s="44"/>
      <c r="F23" s="44"/>
      <c r="G23" s="44" t="s">
        <v>44</v>
      </c>
      <c r="H23" s="44"/>
      <c r="I23" s="44" t="s">
        <v>44</v>
      </c>
      <c r="J23" s="44"/>
      <c r="K23" s="10"/>
    </row>
    <row r="24" spans="1:12" ht="15.75" thickTop="1">
      <c r="A24" s="10"/>
      <c r="B24" s="10"/>
      <c r="C24" s="45" t="s">
        <v>0</v>
      </c>
      <c r="D24" s="45" t="s">
        <v>0</v>
      </c>
      <c r="E24" s="32" t="s">
        <v>0</v>
      </c>
      <c r="F24" s="32"/>
      <c r="G24" s="45" t="s">
        <v>0</v>
      </c>
      <c r="H24" s="12" t="s">
        <v>45</v>
      </c>
      <c r="I24" s="309">
        <v>3.4000000000000002E-2</v>
      </c>
      <c r="J24" s="376">
        <v>1.0601</v>
      </c>
      <c r="K24" s="10"/>
    </row>
    <row r="25" spans="1:12">
      <c r="A25" s="191" t="s">
        <v>72</v>
      </c>
      <c r="B25" s="10"/>
      <c r="C25" s="45"/>
      <c r="D25" s="45" t="s">
        <v>0</v>
      </c>
      <c r="F25" s="32"/>
      <c r="G25" s="32" t="s">
        <v>0</v>
      </c>
      <c r="H25" s="323" t="s">
        <v>46</v>
      </c>
      <c r="I25" s="310">
        <v>2.86E-2</v>
      </c>
      <c r="J25" s="375">
        <v>0.86799999999999999</v>
      </c>
      <c r="K25" s="10"/>
    </row>
    <row r="26" spans="1:12">
      <c r="A26" s="192" t="s">
        <v>275</v>
      </c>
      <c r="B26" s="10"/>
      <c r="C26" s="10"/>
      <c r="D26" s="10"/>
      <c r="E26" s="10"/>
      <c r="F26" s="10"/>
      <c r="G26" s="10"/>
      <c r="H26" s="12" t="s">
        <v>18</v>
      </c>
      <c r="I26" s="53">
        <f>MEDIAN(I19:I22)</f>
        <v>3.2308229696528079E-2</v>
      </c>
      <c r="J26" s="46">
        <f>MEDIAN(J19:J22)</f>
        <v>0.94633591955533269</v>
      </c>
      <c r="K26" s="10"/>
    </row>
    <row r="27" spans="1:12">
      <c r="A27" s="192" t="s">
        <v>240</v>
      </c>
      <c r="B27" s="10"/>
      <c r="C27" s="10"/>
      <c r="D27" s="10"/>
      <c r="E27" s="10"/>
      <c r="F27" s="10"/>
      <c r="G27" s="10"/>
      <c r="H27" s="12" t="s">
        <v>443</v>
      </c>
      <c r="I27" s="53">
        <f>AVERAGE(I19:I22)</f>
        <v>3.1814945545435472E-2</v>
      </c>
      <c r="J27" s="46">
        <f>AVERAGE(J19:J22)</f>
        <v>0.95518832116214325</v>
      </c>
      <c r="K27" s="10"/>
    </row>
    <row r="28" spans="1:12">
      <c r="A28" s="192"/>
      <c r="B28" s="10"/>
      <c r="C28" s="10"/>
      <c r="D28" s="10"/>
      <c r="E28" s="10"/>
      <c r="F28" s="10"/>
      <c r="G28" s="10"/>
      <c r="H28" s="12" t="s">
        <v>444</v>
      </c>
      <c r="I28" s="53">
        <f>HARMEAN(I19:I22)</f>
        <v>3.16843799216927E-2</v>
      </c>
      <c r="J28" s="46">
        <f>HARMEAN(J19:J22)</f>
        <v>0.95016074560699815</v>
      </c>
      <c r="K28" s="10"/>
    </row>
    <row r="29" spans="1:12" ht="15.75" thickBot="1">
      <c r="A29" s="10"/>
      <c r="B29" s="10"/>
      <c r="C29" s="10"/>
      <c r="D29" s="207" t="s">
        <v>0</v>
      </c>
      <c r="E29" s="207" t="s">
        <v>0</v>
      </c>
      <c r="F29" s="371" t="s">
        <v>0</v>
      </c>
      <c r="G29" s="207" t="s">
        <v>0</v>
      </c>
      <c r="H29" s="10"/>
      <c r="I29" s="10"/>
      <c r="J29" s="11"/>
      <c r="K29" s="10"/>
    </row>
    <row r="30" spans="1:12" ht="21" thickBot="1">
      <c r="A30" s="10"/>
      <c r="B30" s="10"/>
      <c r="C30" t="s">
        <v>0</v>
      </c>
      <c r="D30" t="s">
        <v>0</v>
      </c>
      <c r="F30" s="10"/>
      <c r="G30" s="195"/>
      <c r="H30" s="196" t="s">
        <v>247</v>
      </c>
      <c r="I30" s="448">
        <v>3.1800000000000002E-2</v>
      </c>
      <c r="J30" s="460">
        <v>9.5519999999999997E-3</v>
      </c>
      <c r="K30" s="10"/>
    </row>
    <row r="31" spans="1:12">
      <c r="A31" s="10"/>
      <c r="B31" s="10"/>
      <c r="F31" s="10"/>
      <c r="G31" s="10"/>
      <c r="H31" s="10"/>
      <c r="I31" s="10"/>
      <c r="J31" s="10"/>
      <c r="K31" s="10"/>
    </row>
    <row r="32" spans="1:12">
      <c r="A32" s="10"/>
      <c r="B32" s="10"/>
      <c r="C32" s="10"/>
      <c r="D32" s="10"/>
      <c r="E32" s="10"/>
      <c r="F32" s="10"/>
      <c r="G32" s="10"/>
      <c r="H32" s="10"/>
      <c r="I32" s="10"/>
      <c r="J32" s="10"/>
      <c r="K32" s="10"/>
    </row>
    <row r="36" spans="1:3">
      <c r="A36" s="329" t="s">
        <v>0</v>
      </c>
      <c r="B36" s="374" t="s">
        <v>0</v>
      </c>
      <c r="C36" s="10"/>
    </row>
  </sheetData>
  <pageMargins left="0.25" right="0.25" top="0.75" bottom="0.75" header="0.3" footer="0.3"/>
  <pageSetup scale="5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55"/>
  <sheetViews>
    <sheetView view="pageBreakPreview" zoomScale="60" zoomScaleNormal="80" workbookViewId="0">
      <selection activeCell="J26" sqref="J26"/>
    </sheetView>
  </sheetViews>
  <sheetFormatPr defaultRowHeight="15"/>
  <cols>
    <col min="1" max="1" width="39.7109375" customWidth="1"/>
    <col min="2" max="2" width="13.42578125" customWidth="1"/>
    <col min="3" max="3" width="19.140625" bestFit="1" customWidth="1"/>
    <col min="4" max="4" width="20.7109375" customWidth="1"/>
    <col min="5" max="5" width="21.85546875" customWidth="1"/>
    <col min="6" max="6" width="16.140625" customWidth="1"/>
    <col min="7" max="7" width="12.140625" customWidth="1"/>
    <col min="8" max="8" width="18.5703125" customWidth="1"/>
    <col min="9" max="9" width="19.28515625" customWidth="1"/>
    <col min="10" max="11" width="20.5703125" customWidth="1"/>
    <col min="12" max="12" width="26.5703125" customWidth="1"/>
    <col min="13" max="13" width="19.140625" customWidth="1"/>
  </cols>
  <sheetData>
    <row r="1" spans="1:13" ht="20.25">
      <c r="A1" s="21" t="s">
        <v>1</v>
      </c>
      <c r="B1" s="10"/>
      <c r="C1" s="10"/>
      <c r="D1" s="10"/>
      <c r="E1" s="10"/>
      <c r="F1" s="10"/>
      <c r="G1" s="10"/>
      <c r="H1" s="10"/>
      <c r="I1" s="10"/>
      <c r="J1" s="10"/>
      <c r="K1" s="10"/>
      <c r="L1" s="10"/>
      <c r="M1" s="10"/>
    </row>
    <row r="2" spans="1:13" ht="15.75">
      <c r="A2" s="22" t="s">
        <v>9</v>
      </c>
      <c r="B2" s="10"/>
      <c r="C2" s="10"/>
      <c r="D2" s="10"/>
      <c r="E2" s="10"/>
      <c r="F2" s="10"/>
      <c r="G2" s="10"/>
      <c r="H2" s="10"/>
      <c r="I2" s="10"/>
      <c r="J2" s="10"/>
      <c r="K2" s="10"/>
      <c r="L2" s="10"/>
      <c r="M2" s="10"/>
    </row>
    <row r="3" spans="1:13">
      <c r="A3" s="23" t="s">
        <v>62</v>
      </c>
      <c r="B3" s="10"/>
      <c r="C3" s="10"/>
      <c r="D3" s="10"/>
      <c r="E3" s="10"/>
      <c r="F3" s="10"/>
      <c r="G3" s="10"/>
      <c r="H3" s="10"/>
      <c r="I3" s="10"/>
      <c r="J3" s="10"/>
      <c r="K3" s="10"/>
      <c r="L3" s="10"/>
      <c r="M3" s="10"/>
    </row>
    <row r="4" spans="1:13">
      <c r="A4" s="23"/>
      <c r="B4" s="10"/>
      <c r="C4" s="10"/>
      <c r="D4" s="10"/>
      <c r="E4" s="10"/>
      <c r="F4" s="10"/>
      <c r="G4" s="10"/>
      <c r="H4" s="10"/>
      <c r="I4" s="10"/>
      <c r="J4" s="10"/>
      <c r="K4" s="10"/>
      <c r="L4" s="10"/>
      <c r="M4" s="10"/>
    </row>
    <row r="5" spans="1:13" ht="15.75" thickBot="1">
      <c r="A5" s="10"/>
      <c r="B5" s="10"/>
      <c r="C5" s="10"/>
      <c r="D5" s="10"/>
      <c r="E5" s="10"/>
      <c r="F5" s="10"/>
      <c r="G5" s="24"/>
      <c r="H5" s="24"/>
      <c r="I5" s="10"/>
      <c r="J5" s="10"/>
      <c r="K5" s="10"/>
      <c r="L5" s="10"/>
      <c r="M5" s="10"/>
    </row>
    <row r="6" spans="1:13" ht="18.75" thickBot="1">
      <c r="A6" s="266" t="str">
        <f>+'S&amp;D'!A12</f>
        <v>Air Freight Carriers</v>
      </c>
      <c r="B6" s="200"/>
      <c r="C6" s="10"/>
      <c r="D6" s="26"/>
      <c r="E6" s="26"/>
      <c r="F6" s="27" t="s">
        <v>0</v>
      </c>
      <c r="G6" s="10"/>
      <c r="H6" s="10"/>
      <c r="I6" s="10"/>
      <c r="J6" s="10"/>
      <c r="K6" s="10"/>
      <c r="L6" s="10"/>
      <c r="M6" s="10"/>
    </row>
    <row r="7" spans="1:13" ht="20.25">
      <c r="A7" s="28"/>
      <c r="B7" s="10"/>
      <c r="C7" s="10"/>
      <c r="D7" s="10"/>
      <c r="E7" s="29" t="s">
        <v>131</v>
      </c>
      <c r="F7" s="10"/>
      <c r="G7" s="10"/>
      <c r="H7" s="10"/>
      <c r="I7" s="10"/>
      <c r="J7" s="10"/>
      <c r="K7" s="10"/>
      <c r="L7" s="10"/>
      <c r="M7" s="10"/>
    </row>
    <row r="8" spans="1:13" ht="18.75" thickBot="1">
      <c r="A8" s="28"/>
      <c r="B8" s="10"/>
      <c r="C8" s="10"/>
      <c r="D8" s="26"/>
      <c r="E8" s="30" t="s">
        <v>76</v>
      </c>
      <c r="F8" s="26"/>
      <c r="G8" s="10"/>
      <c r="H8" s="10"/>
      <c r="I8" s="10"/>
      <c r="J8" s="10"/>
      <c r="K8" s="10"/>
      <c r="L8" s="10"/>
      <c r="M8" s="10"/>
    </row>
    <row r="9" spans="1:13" ht="15.75" thickBot="1">
      <c r="A9" s="31" t="s">
        <v>0</v>
      </c>
      <c r="B9" s="31" t="s">
        <v>0</v>
      </c>
      <c r="C9" s="31" t="s">
        <v>0</v>
      </c>
      <c r="D9" s="31" t="s">
        <v>0</v>
      </c>
      <c r="E9" s="31" t="s">
        <v>0</v>
      </c>
      <c r="F9" s="31" t="s">
        <v>0</v>
      </c>
      <c r="G9" s="31"/>
      <c r="H9" s="31"/>
      <c r="I9" s="31" t="s">
        <v>0</v>
      </c>
      <c r="J9" s="26"/>
      <c r="L9" s="10"/>
      <c r="M9" s="10"/>
    </row>
    <row r="10" spans="1:13">
      <c r="A10" s="32" t="s">
        <v>0</v>
      </c>
      <c r="B10" s="32" t="s">
        <v>3</v>
      </c>
      <c r="C10" s="32" t="s">
        <v>5</v>
      </c>
      <c r="D10" s="32" t="s">
        <v>21</v>
      </c>
      <c r="E10" s="32" t="s">
        <v>20</v>
      </c>
      <c r="F10" s="32" t="s">
        <v>50</v>
      </c>
      <c r="G10" s="32" t="s">
        <v>134</v>
      </c>
      <c r="H10" s="32" t="s">
        <v>47</v>
      </c>
      <c r="I10" s="32" t="s">
        <v>134</v>
      </c>
      <c r="J10" s="32" t="s">
        <v>47</v>
      </c>
      <c r="L10" s="10"/>
      <c r="M10" s="10"/>
    </row>
    <row r="11" spans="1:13" ht="15.75" thickBot="1">
      <c r="A11" s="34" t="s">
        <v>2</v>
      </c>
      <c r="B11" s="34" t="s">
        <v>4</v>
      </c>
      <c r="C11" s="34" t="s">
        <v>6</v>
      </c>
      <c r="D11" s="34" t="s">
        <v>23</v>
      </c>
      <c r="E11" s="34" t="s">
        <v>22</v>
      </c>
      <c r="F11" s="34" t="s">
        <v>48</v>
      </c>
      <c r="G11" s="34" t="s">
        <v>48</v>
      </c>
      <c r="H11" s="34" t="s">
        <v>48</v>
      </c>
      <c r="I11" s="34" t="s">
        <v>48</v>
      </c>
      <c r="J11" s="34" t="s">
        <v>49</v>
      </c>
      <c r="L11" s="10"/>
      <c r="M11" s="10"/>
    </row>
    <row r="12" spans="1:13">
      <c r="A12" s="36" t="s">
        <v>7</v>
      </c>
      <c r="B12" s="36" t="s">
        <v>7</v>
      </c>
      <c r="C12" s="36" t="s">
        <v>7</v>
      </c>
      <c r="D12" s="36" t="s">
        <v>7</v>
      </c>
      <c r="E12" s="36" t="s">
        <v>7</v>
      </c>
      <c r="F12" s="36" t="s">
        <v>0</v>
      </c>
      <c r="G12" s="36" t="s">
        <v>0</v>
      </c>
      <c r="H12" s="36" t="s">
        <v>0</v>
      </c>
      <c r="I12" s="36" t="s">
        <v>0</v>
      </c>
      <c r="J12" s="36" t="s">
        <v>0</v>
      </c>
      <c r="L12" s="10"/>
      <c r="M12" s="10"/>
    </row>
    <row r="13" spans="1:13">
      <c r="A13" s="32"/>
      <c r="B13" s="32"/>
      <c r="C13" s="32"/>
      <c r="D13" s="32"/>
      <c r="E13" s="32"/>
      <c r="F13" s="32"/>
      <c r="G13" s="32"/>
      <c r="H13" s="32"/>
      <c r="I13" s="32"/>
      <c r="J13" s="32"/>
      <c r="L13" s="10"/>
      <c r="M13" s="10"/>
    </row>
    <row r="14" spans="1:13">
      <c r="A14" s="10"/>
      <c r="B14" s="10"/>
      <c r="C14" s="10"/>
      <c r="D14" s="10"/>
      <c r="E14" s="10"/>
      <c r="F14" s="10"/>
      <c r="G14" s="10"/>
      <c r="H14" s="10"/>
      <c r="I14" s="10"/>
      <c r="J14" s="10"/>
      <c r="L14" s="10"/>
      <c r="M14" s="10"/>
    </row>
    <row r="15" spans="1:13" ht="15.75">
      <c r="A15" s="60" t="str">
        <f>+'S&amp;D'!A22</f>
        <v>Air Transport Services Group</v>
      </c>
      <c r="B15" s="86" t="str">
        <f>+'S&amp;D'!B22</f>
        <v>ATSG</v>
      </c>
      <c r="C15" s="32" t="str">
        <f>+'S&amp;D'!C22</f>
        <v>Air Trans</v>
      </c>
      <c r="D15" s="51">
        <f>+'Beta for CAPM'!D18</f>
        <v>0.23</v>
      </c>
      <c r="E15" s="32" t="str">
        <f>+'Beta for CAPM'!G18</f>
        <v>B+</v>
      </c>
      <c r="F15" s="373" t="s">
        <v>428</v>
      </c>
      <c r="G15" s="289" t="s">
        <v>0</v>
      </c>
      <c r="H15" s="59" t="s">
        <v>56</v>
      </c>
      <c r="I15" s="424">
        <v>13</v>
      </c>
      <c r="J15" s="63">
        <v>7.4399999999999994E-2</v>
      </c>
      <c r="L15" s="10"/>
      <c r="M15" s="10"/>
    </row>
    <row r="16" spans="1:13" ht="15.75">
      <c r="A16" s="60" t="str">
        <f>+'S&amp;D'!A23</f>
        <v>Atlas Air</v>
      </c>
      <c r="B16" s="86" t="str">
        <f>+'S&amp;D'!B23</f>
        <v>AAWW</v>
      </c>
      <c r="C16" s="32" t="str">
        <f>+'S&amp;D'!C23</f>
        <v>Air Trans</v>
      </c>
      <c r="D16" s="51">
        <f>+'Beta for CAPM'!D19</f>
        <v>0.22</v>
      </c>
      <c r="E16" s="32" t="str">
        <f>+'Beta for CAPM'!G19</f>
        <v>B</v>
      </c>
      <c r="F16" s="32" t="s">
        <v>433</v>
      </c>
      <c r="G16" s="424">
        <v>14</v>
      </c>
      <c r="H16" s="59" t="s">
        <v>53</v>
      </c>
      <c r="I16" s="424">
        <v>11</v>
      </c>
      <c r="J16" s="63">
        <v>5.9700000000000003E-2</v>
      </c>
      <c r="K16" t="s">
        <v>0</v>
      </c>
      <c r="L16" s="10"/>
      <c r="M16" s="10"/>
    </row>
    <row r="17" spans="1:13" ht="15.75">
      <c r="A17" s="60" t="str">
        <f>+'S&amp;D'!A24</f>
        <v xml:space="preserve">FedEx Corp </v>
      </c>
      <c r="B17" s="86" t="str">
        <f>+'S&amp;D'!B24</f>
        <v>FDX</v>
      </c>
      <c r="C17" s="32" t="str">
        <f>+'S&amp;D'!C24</f>
        <v>Air Trans</v>
      </c>
      <c r="D17" s="51">
        <f>+'Beta for CAPM'!D20</f>
        <v>0.18</v>
      </c>
      <c r="E17" s="32" t="str">
        <f>+'Beta for CAPM'!G20</f>
        <v>A+</v>
      </c>
      <c r="F17" s="32" t="s">
        <v>337</v>
      </c>
      <c r="G17" s="424">
        <v>11</v>
      </c>
      <c r="H17" s="59" t="s">
        <v>53</v>
      </c>
      <c r="I17" s="424">
        <v>11</v>
      </c>
      <c r="J17" s="63">
        <v>5.9700000000000003E-2</v>
      </c>
      <c r="K17" t="s">
        <v>0</v>
      </c>
      <c r="L17" s="10" t="s">
        <v>0</v>
      </c>
      <c r="M17" s="10"/>
    </row>
    <row r="18" spans="1:13" ht="15.75">
      <c r="A18" s="60" t="str">
        <f>+'S&amp;D'!A25</f>
        <v xml:space="preserve">United Parcel Service </v>
      </c>
      <c r="B18" s="86" t="str">
        <f>+'S&amp;D'!B25</f>
        <v>UPS</v>
      </c>
      <c r="C18" s="32" t="str">
        <f>+'S&amp;D'!C25</f>
        <v>Air Trans</v>
      </c>
      <c r="D18" s="51">
        <f>+'Beta for CAPM'!D21</f>
        <v>0.23</v>
      </c>
      <c r="E18" s="32" t="str">
        <f>+'Beta for CAPM'!G21</f>
        <v>A+</v>
      </c>
      <c r="F18" s="32" t="s">
        <v>24</v>
      </c>
      <c r="G18" s="424">
        <v>8</v>
      </c>
      <c r="H18" s="59" t="s">
        <v>144</v>
      </c>
      <c r="I18" s="424">
        <v>8</v>
      </c>
      <c r="J18" s="63">
        <v>5.4800000000000001E-2</v>
      </c>
      <c r="K18" t="s">
        <v>0</v>
      </c>
      <c r="L18" s="10"/>
      <c r="M18" s="10"/>
    </row>
    <row r="19" spans="1:13" ht="15.75" thickBot="1">
      <c r="A19" s="10"/>
      <c r="B19" s="10"/>
      <c r="C19" s="41"/>
      <c r="D19" s="44"/>
      <c r="E19" s="44"/>
      <c r="F19" s="44"/>
      <c r="G19" s="44"/>
      <c r="H19" s="44" t="s">
        <v>44</v>
      </c>
      <c r="I19" s="44"/>
      <c r="J19" s="44"/>
      <c r="L19" s="10"/>
      <c r="M19" s="10"/>
    </row>
    <row r="20" spans="1:13" ht="15.75" thickTop="1">
      <c r="A20" s="10"/>
      <c r="B20" s="10"/>
      <c r="E20" s="12" t="s">
        <v>45</v>
      </c>
      <c r="G20" s="290">
        <v>11</v>
      </c>
      <c r="H20" s="309" t="s">
        <v>0</v>
      </c>
      <c r="I20" s="318">
        <v>13</v>
      </c>
      <c r="J20" s="309">
        <v>7.4399999999999994E-2</v>
      </c>
      <c r="L20" s="10"/>
      <c r="M20" s="10"/>
    </row>
    <row r="21" spans="1:13">
      <c r="A21" s="10"/>
      <c r="B21" s="10"/>
      <c r="E21" s="323" t="s">
        <v>46</v>
      </c>
      <c r="F21" s="247"/>
      <c r="G21" s="291">
        <v>8</v>
      </c>
      <c r="H21" s="310" t="s">
        <v>0</v>
      </c>
      <c r="I21" s="319">
        <v>8</v>
      </c>
      <c r="J21" s="310">
        <v>5.4800000000000001E-2</v>
      </c>
      <c r="L21" s="10"/>
      <c r="M21" s="10"/>
    </row>
    <row r="22" spans="1:13">
      <c r="A22" s="10"/>
      <c r="B22" s="10"/>
      <c r="E22" s="12" t="s">
        <v>18</v>
      </c>
      <c r="G22" s="223">
        <f>MEDIAN(G15:G18)</f>
        <v>11</v>
      </c>
      <c r="H22" s="53" t="s">
        <v>0</v>
      </c>
      <c r="I22" s="224">
        <f>MEDIAN(I15:I18)</f>
        <v>11</v>
      </c>
      <c r="J22" s="53">
        <f>MEDIAN(J15:J18)</f>
        <v>5.9700000000000003E-2</v>
      </c>
      <c r="L22" s="10"/>
      <c r="M22" s="10"/>
    </row>
    <row r="23" spans="1:13">
      <c r="A23" s="10"/>
      <c r="B23" s="10"/>
      <c r="D23" s="12" t="s">
        <v>0</v>
      </c>
      <c r="E23" s="12" t="s">
        <v>443</v>
      </c>
      <c r="G23" s="224">
        <f>AVERAGE(G15:G18)</f>
        <v>11</v>
      </c>
      <c r="H23" s="53" t="s">
        <v>0</v>
      </c>
      <c r="I23" s="224">
        <f>AVERAGE(I15:I18)</f>
        <v>10.75</v>
      </c>
      <c r="J23" s="53">
        <f>AVERAGE(J15:J18)</f>
        <v>6.2149999999999997E-2</v>
      </c>
      <c r="L23" s="10"/>
      <c r="M23" s="10"/>
    </row>
    <row r="24" spans="1:13">
      <c r="A24" s="10"/>
      <c r="B24" s="10"/>
      <c r="D24" s="54" t="s">
        <v>0</v>
      </c>
      <c r="E24" s="12" t="s">
        <v>0</v>
      </c>
      <c r="G24" s="224" t="s">
        <v>0</v>
      </c>
      <c r="H24" s="53" t="s">
        <v>0</v>
      </c>
      <c r="I24" s="224" t="s">
        <v>0</v>
      </c>
      <c r="J24" s="53" t="s">
        <v>0</v>
      </c>
      <c r="L24" s="10"/>
      <c r="M24" s="10"/>
    </row>
    <row r="25" spans="1:13" ht="15.75" thickBot="1">
      <c r="A25" s="10"/>
      <c r="B25" s="10"/>
      <c r="C25" s="10"/>
      <c r="D25" s="10"/>
      <c r="E25" s="12"/>
      <c r="F25" s="54"/>
      <c r="H25" s="10"/>
      <c r="I25" s="10"/>
      <c r="J25" s="10"/>
      <c r="K25" s="10"/>
      <c r="L25" s="10"/>
      <c r="M25" s="10"/>
    </row>
    <row r="26" spans="1:13" ht="21" thickBot="1">
      <c r="A26" s="10"/>
      <c r="B26" s="10"/>
      <c r="C26" s="10"/>
      <c r="D26" s="10"/>
      <c r="E26" s="10"/>
      <c r="F26" s="195"/>
      <c r="G26" s="315"/>
      <c r="H26" s="196" t="s">
        <v>247</v>
      </c>
      <c r="I26" s="435">
        <v>11</v>
      </c>
      <c r="J26" s="448">
        <v>6.2199999999999998E-2</v>
      </c>
      <c r="K26" s="10"/>
      <c r="L26" s="10"/>
      <c r="M26" s="10"/>
    </row>
    <row r="27" spans="1:13">
      <c r="A27" s="10"/>
      <c r="B27" s="10"/>
      <c r="C27" s="10"/>
      <c r="D27" s="10"/>
      <c r="E27" s="10"/>
      <c r="F27" s="10"/>
      <c r="G27" s="10"/>
      <c r="H27" s="10"/>
      <c r="I27" s="10"/>
      <c r="J27" s="10"/>
      <c r="K27" s="10"/>
      <c r="L27" s="10"/>
      <c r="M27" s="10"/>
    </row>
    <row r="28" spans="1:13">
      <c r="A28" s="10"/>
      <c r="B28" s="10"/>
      <c r="C28" s="10"/>
      <c r="D28" s="10"/>
      <c r="E28" s="10"/>
      <c r="F28" s="10"/>
      <c r="G28" s="10"/>
      <c r="H28" s="10"/>
      <c r="I28" s="10"/>
      <c r="J28" s="10"/>
      <c r="K28" s="10"/>
      <c r="L28" s="10"/>
      <c r="M28" s="10"/>
    </row>
    <row r="29" spans="1:13" ht="18.75" thickBot="1">
      <c r="A29" s="277" t="s">
        <v>148</v>
      </c>
      <c r="B29" s="10"/>
      <c r="G29" s="10"/>
      <c r="H29" s="10"/>
      <c r="I29" s="10"/>
      <c r="J29" s="10"/>
      <c r="K29" s="10"/>
      <c r="L29" s="10"/>
      <c r="M29" s="10"/>
    </row>
    <row r="30" spans="1:13" ht="18.75" thickBot="1">
      <c r="A30" s="283" t="s">
        <v>412</v>
      </c>
      <c r="B30" s="283" t="s">
        <v>347</v>
      </c>
      <c r="C30" s="283" t="s">
        <v>446</v>
      </c>
      <c r="D30" s="426" t="s">
        <v>447</v>
      </c>
      <c r="E30" s="426" t="s">
        <v>448</v>
      </c>
      <c r="F30" s="10"/>
      <c r="G30" s="10"/>
      <c r="H30" s="10"/>
      <c r="I30" s="10"/>
      <c r="M30" s="10"/>
    </row>
    <row r="31" spans="1:13" ht="15.75">
      <c r="A31" s="284" t="s">
        <v>359</v>
      </c>
      <c r="B31" s="288">
        <v>1</v>
      </c>
      <c r="C31" s="285" t="s">
        <v>358</v>
      </c>
      <c r="D31" s="427" t="s">
        <v>0</v>
      </c>
      <c r="E31" s="427" t="s">
        <v>0</v>
      </c>
      <c r="F31" s="10"/>
      <c r="G31" s="10"/>
      <c r="H31" s="10"/>
      <c r="I31" s="10"/>
      <c r="M31" s="10"/>
    </row>
    <row r="32" spans="1:13" ht="15.75">
      <c r="A32" s="55" t="s">
        <v>360</v>
      </c>
      <c r="B32" s="278">
        <v>2</v>
      </c>
      <c r="C32" s="286" t="s">
        <v>332</v>
      </c>
      <c r="D32" s="355">
        <v>4.8099999999999997E-2</v>
      </c>
      <c r="E32" s="355">
        <v>4.8099999999999997E-2</v>
      </c>
      <c r="F32" s="10" t="s">
        <v>200</v>
      </c>
      <c r="H32" s="10"/>
      <c r="I32" s="10"/>
      <c r="M32" s="10"/>
    </row>
    <row r="33" spans="1:13" ht="16.5" thickBot="1">
      <c r="A33" s="56" t="s">
        <v>361</v>
      </c>
      <c r="B33" s="280">
        <v>3</v>
      </c>
      <c r="C33" s="287" t="s">
        <v>357</v>
      </c>
      <c r="D33" s="428" t="s">
        <v>0</v>
      </c>
      <c r="E33" s="428" t="s">
        <v>0</v>
      </c>
      <c r="F33" s="10"/>
      <c r="H33" s="10"/>
      <c r="I33" s="10"/>
      <c r="M33" s="10"/>
    </row>
    <row r="34" spans="1:13" ht="15.75">
      <c r="A34" s="55" t="s">
        <v>147</v>
      </c>
      <c r="B34" s="278">
        <v>4</v>
      </c>
      <c r="C34" s="279" t="s">
        <v>331</v>
      </c>
      <c r="D34" s="355" t="s">
        <v>0</v>
      </c>
      <c r="E34" s="355" t="s">
        <v>0</v>
      </c>
      <c r="F34" s="10"/>
      <c r="H34" s="10"/>
      <c r="I34" s="10"/>
      <c r="M34" s="10"/>
    </row>
    <row r="35" spans="1:13" ht="15.75">
      <c r="A35" s="55" t="s">
        <v>146</v>
      </c>
      <c r="B35" s="278">
        <v>5</v>
      </c>
      <c r="C35" s="279" t="s">
        <v>333</v>
      </c>
      <c r="D35" s="355">
        <v>5.1299999999999998E-2</v>
      </c>
      <c r="E35" s="355">
        <v>5.4300000000000001E-2</v>
      </c>
      <c r="F35" s="10" t="s">
        <v>334</v>
      </c>
      <c r="H35" s="10"/>
      <c r="I35" s="10"/>
      <c r="M35" s="10"/>
    </row>
    <row r="36" spans="1:13" ht="16.5" thickBot="1">
      <c r="A36" s="56" t="s">
        <v>145</v>
      </c>
      <c r="B36" s="280">
        <v>6</v>
      </c>
      <c r="C36" s="281" t="s">
        <v>335</v>
      </c>
      <c r="D36" s="429" t="s">
        <v>0</v>
      </c>
      <c r="E36" s="429" t="s">
        <v>0</v>
      </c>
      <c r="F36" s="10"/>
      <c r="H36" s="10"/>
      <c r="I36" s="10"/>
      <c r="M36" s="10"/>
    </row>
    <row r="37" spans="1:13" ht="15.75">
      <c r="A37" s="55" t="s">
        <v>55</v>
      </c>
      <c r="B37" s="278">
        <v>7</v>
      </c>
      <c r="C37" s="279" t="s">
        <v>43</v>
      </c>
      <c r="D37" s="430" t="s">
        <v>0</v>
      </c>
      <c r="E37" s="430" t="s">
        <v>0</v>
      </c>
      <c r="H37" s="10"/>
      <c r="I37" s="10"/>
      <c r="M37" s="10"/>
    </row>
    <row r="38" spans="1:13" ht="15.75">
      <c r="A38" s="55" t="s">
        <v>144</v>
      </c>
      <c r="B38" s="278">
        <v>8</v>
      </c>
      <c r="C38" s="279" t="s">
        <v>24</v>
      </c>
      <c r="D38" s="356">
        <v>5.4800000000000001E-2</v>
      </c>
      <c r="E38" s="356">
        <v>5.6399999999999999E-2</v>
      </c>
      <c r="F38" s="10" t="s">
        <v>201</v>
      </c>
      <c r="H38" s="10"/>
      <c r="I38" s="10"/>
      <c r="M38" s="10"/>
    </row>
    <row r="39" spans="1:13" ht="16.5" thickBot="1">
      <c r="A39" s="56" t="s">
        <v>57</v>
      </c>
      <c r="B39" s="280">
        <v>9</v>
      </c>
      <c r="C39" s="281" t="s">
        <v>59</v>
      </c>
      <c r="D39" s="429" t="s">
        <v>0</v>
      </c>
      <c r="E39" s="429" t="s">
        <v>0</v>
      </c>
      <c r="F39" s="10"/>
      <c r="H39" s="10"/>
      <c r="I39" s="10"/>
      <c r="M39" s="10"/>
    </row>
    <row r="40" spans="1:13" ht="15.75">
      <c r="A40" s="55" t="s">
        <v>52</v>
      </c>
      <c r="B40" s="278">
        <v>10</v>
      </c>
      <c r="C40" s="279" t="s">
        <v>336</v>
      </c>
      <c r="D40" s="356" t="s">
        <v>0</v>
      </c>
      <c r="E40" s="356" t="s">
        <v>0</v>
      </c>
      <c r="H40" s="10"/>
      <c r="I40" s="10"/>
      <c r="J40" s="10"/>
      <c r="K40" s="10"/>
      <c r="L40" s="10"/>
      <c r="M40" s="10"/>
    </row>
    <row r="41" spans="1:13" ht="15.75">
      <c r="A41" s="55" t="s">
        <v>53</v>
      </c>
      <c r="B41" s="278">
        <v>11</v>
      </c>
      <c r="C41" s="279" t="s">
        <v>337</v>
      </c>
      <c r="D41" s="356">
        <v>5.9700000000000003E-2</v>
      </c>
      <c r="E41" s="356">
        <v>5.9299999999999999E-2</v>
      </c>
      <c r="F41" s="10" t="s">
        <v>204</v>
      </c>
      <c r="H41" s="10"/>
      <c r="I41" s="10"/>
      <c r="J41" s="10"/>
      <c r="K41" s="10"/>
      <c r="L41" s="10"/>
      <c r="M41" s="10"/>
    </row>
    <row r="42" spans="1:13" ht="16.5" thickBot="1">
      <c r="A42" s="56" t="s">
        <v>58</v>
      </c>
      <c r="B42" s="280">
        <v>12</v>
      </c>
      <c r="C42" s="281" t="s">
        <v>338</v>
      </c>
      <c r="D42" s="356" t="s">
        <v>0</v>
      </c>
      <c r="E42" s="356" t="s">
        <v>0</v>
      </c>
      <c r="F42" s="10"/>
      <c r="H42" s="10"/>
      <c r="I42" s="10"/>
      <c r="J42" s="10"/>
      <c r="K42" s="10"/>
      <c r="L42" s="10"/>
      <c r="M42" s="10"/>
    </row>
    <row r="43" spans="1:13" ht="15.75">
      <c r="A43" s="55" t="s">
        <v>56</v>
      </c>
      <c r="B43" s="278">
        <v>13</v>
      </c>
      <c r="C43" s="279" t="s">
        <v>339</v>
      </c>
      <c r="D43" s="430" t="s">
        <v>0</v>
      </c>
      <c r="E43" s="430" t="s">
        <v>0</v>
      </c>
      <c r="H43" s="10"/>
      <c r="I43" s="10"/>
      <c r="J43" s="10"/>
      <c r="K43" s="10"/>
      <c r="L43" s="10"/>
      <c r="M43" s="10"/>
    </row>
    <row r="44" spans="1:13" ht="15.75">
      <c r="A44" s="55" t="s">
        <v>143</v>
      </c>
      <c r="B44" s="278">
        <v>14</v>
      </c>
      <c r="C44" s="279" t="s">
        <v>340</v>
      </c>
      <c r="D44" s="355">
        <v>7.4440000000000006E-2</v>
      </c>
      <c r="E44" s="355">
        <v>7.3899999999999993E-2</v>
      </c>
      <c r="F44" s="10" t="s">
        <v>203</v>
      </c>
      <c r="H44" s="10"/>
      <c r="I44" s="10"/>
      <c r="J44" s="10"/>
      <c r="K44" s="10"/>
      <c r="L44" s="10"/>
      <c r="M44" s="10"/>
    </row>
    <row r="45" spans="1:13" ht="16.5" thickBot="1">
      <c r="A45" s="56" t="s">
        <v>142</v>
      </c>
      <c r="B45" s="280">
        <v>15</v>
      </c>
      <c r="C45" s="281" t="s">
        <v>341</v>
      </c>
      <c r="D45" s="428" t="s">
        <v>0</v>
      </c>
      <c r="E45" s="428" t="s">
        <v>0</v>
      </c>
      <c r="F45" s="10"/>
      <c r="H45" s="10"/>
      <c r="I45" s="10"/>
      <c r="J45" s="10"/>
      <c r="K45" s="10"/>
      <c r="L45" s="10"/>
      <c r="M45" s="10"/>
    </row>
    <row r="46" spans="1:13" ht="15.75">
      <c r="A46" s="55" t="s">
        <v>141</v>
      </c>
      <c r="B46" s="278">
        <v>16</v>
      </c>
      <c r="C46" s="279" t="s">
        <v>25</v>
      </c>
      <c r="D46" s="430"/>
      <c r="E46" s="430"/>
      <c r="H46" s="10"/>
      <c r="I46" s="10"/>
      <c r="J46" s="10"/>
      <c r="K46" s="10"/>
      <c r="L46" s="10"/>
      <c r="M46" s="10"/>
    </row>
    <row r="47" spans="1:13" ht="15.75">
      <c r="A47" s="55" t="s">
        <v>140</v>
      </c>
      <c r="B47" s="278">
        <v>17</v>
      </c>
      <c r="C47" s="279" t="s">
        <v>91</v>
      </c>
      <c r="D47" s="356">
        <v>8.2299999999999998E-2</v>
      </c>
      <c r="E47" s="356">
        <v>8.1699999999999995E-2</v>
      </c>
      <c r="F47" s="10" t="s">
        <v>202</v>
      </c>
      <c r="H47" s="10"/>
      <c r="I47" s="10"/>
      <c r="J47" s="10"/>
      <c r="K47" s="10"/>
      <c r="L47" s="10"/>
      <c r="M47" s="10"/>
    </row>
    <row r="48" spans="1:13" ht="16.5" thickBot="1">
      <c r="A48" s="56" t="s">
        <v>139</v>
      </c>
      <c r="B48" s="280">
        <v>18</v>
      </c>
      <c r="C48" s="281" t="s">
        <v>342</v>
      </c>
      <c r="D48" s="428"/>
      <c r="E48" s="428"/>
      <c r="F48" s="10"/>
      <c r="H48" s="10"/>
      <c r="I48" s="10"/>
      <c r="J48" s="10"/>
      <c r="K48" s="10"/>
      <c r="L48" s="10"/>
      <c r="M48" s="10"/>
    </row>
    <row r="49" spans="1:13" ht="15.75">
      <c r="A49" s="55" t="s">
        <v>138</v>
      </c>
      <c r="B49" s="278">
        <v>19</v>
      </c>
      <c r="C49" s="279" t="s">
        <v>343</v>
      </c>
      <c r="D49" s="356"/>
      <c r="E49" s="356"/>
      <c r="H49" s="10"/>
      <c r="I49" s="10"/>
      <c r="J49" s="10"/>
      <c r="K49" s="10"/>
      <c r="L49" s="10"/>
      <c r="M49" s="10"/>
    </row>
    <row r="50" spans="1:13" ht="15.75">
      <c r="A50" s="55" t="s">
        <v>137</v>
      </c>
      <c r="B50" s="278">
        <v>20</v>
      </c>
      <c r="C50" s="279" t="s">
        <v>344</v>
      </c>
      <c r="D50" s="356">
        <v>9.0200000000000002E-2</v>
      </c>
      <c r="E50" s="356">
        <v>8.9499999999999996E-2</v>
      </c>
      <c r="F50" s="10" t="s">
        <v>199</v>
      </c>
      <c r="H50" s="10"/>
      <c r="I50" s="10"/>
      <c r="J50" s="10"/>
      <c r="K50" s="10"/>
      <c r="L50" s="10"/>
      <c r="M50" s="10"/>
    </row>
    <row r="51" spans="1:13" ht="16.5" thickBot="1">
      <c r="A51" s="56" t="s">
        <v>136</v>
      </c>
      <c r="B51" s="280">
        <v>21</v>
      </c>
      <c r="C51" s="444" t="s">
        <v>345</v>
      </c>
      <c r="D51" s="429"/>
      <c r="E51" s="429"/>
      <c r="F51" s="10"/>
      <c r="H51" s="10"/>
      <c r="I51" s="10"/>
      <c r="J51" s="10"/>
      <c r="K51" s="10"/>
      <c r="L51" s="10"/>
      <c r="M51" s="10"/>
    </row>
    <row r="52" spans="1:13" ht="15.75">
      <c r="A52" s="443" t="s">
        <v>352</v>
      </c>
      <c r="B52" s="288">
        <v>22</v>
      </c>
      <c r="C52" s="446" t="s">
        <v>355</v>
      </c>
      <c r="D52" s="431"/>
      <c r="E52" s="431"/>
      <c r="H52" s="10"/>
      <c r="I52" s="10"/>
      <c r="J52" s="10"/>
      <c r="K52" s="10"/>
      <c r="L52" s="10"/>
      <c r="M52" s="10"/>
    </row>
    <row r="53" spans="1:13" ht="15.75">
      <c r="A53" s="443" t="s">
        <v>353</v>
      </c>
      <c r="B53" s="278">
        <v>23</v>
      </c>
      <c r="C53" s="447" t="s">
        <v>346</v>
      </c>
      <c r="D53" s="432"/>
      <c r="E53" s="432"/>
      <c r="F53" s="10" t="s">
        <v>197</v>
      </c>
      <c r="H53" s="10"/>
      <c r="I53" s="10"/>
      <c r="J53" s="10"/>
      <c r="K53" s="10"/>
      <c r="L53" s="10"/>
      <c r="M53" s="10"/>
    </row>
    <row r="54" spans="1:13" ht="16.5" thickBot="1">
      <c r="A54" s="445" t="s">
        <v>354</v>
      </c>
      <c r="B54" s="280">
        <v>24</v>
      </c>
      <c r="C54" s="444" t="s">
        <v>356</v>
      </c>
      <c r="D54" s="433"/>
      <c r="E54" s="433"/>
      <c r="F54" s="10"/>
      <c r="H54" s="10"/>
      <c r="I54" s="10"/>
      <c r="J54" s="10"/>
      <c r="K54" s="10"/>
      <c r="L54" s="10"/>
      <c r="M54" s="10"/>
    </row>
    <row r="55" spans="1:13" ht="16.5" thickBot="1">
      <c r="A55" s="56" t="s">
        <v>276</v>
      </c>
      <c r="B55" s="280">
        <v>25</v>
      </c>
      <c r="C55" s="56" t="s">
        <v>92</v>
      </c>
      <c r="D55" s="434"/>
      <c r="E55" s="434"/>
      <c r="F55" s="10" t="s">
        <v>198</v>
      </c>
      <c r="H55" s="10"/>
      <c r="I55" s="10"/>
      <c r="J55" s="10"/>
      <c r="K55" s="10"/>
      <c r="L55" s="10"/>
    </row>
  </sheetData>
  <pageMargins left="0.25" right="0.25" top="0.75" bottom="0.75" header="0.3" footer="0.3"/>
  <pageSetup scale="47"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35"/>
  <sheetViews>
    <sheetView view="pageBreakPreview" zoomScale="60" zoomScaleNormal="80" workbookViewId="0">
      <selection activeCell="I6" sqref="I6"/>
    </sheetView>
  </sheetViews>
  <sheetFormatPr defaultRowHeight="15"/>
  <cols>
    <col min="1" max="1" width="48.85546875" customWidth="1"/>
    <col min="2" max="2" width="13.140625" customWidth="1"/>
    <col min="3" max="3" width="19.85546875" customWidth="1"/>
    <col min="4" max="4" width="24.7109375" customWidth="1"/>
    <col min="5" max="5" width="22.7109375" customWidth="1"/>
    <col min="6" max="7" width="21.28515625" customWidth="1"/>
    <col min="8" max="8" width="12.4257812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1" t="s">
        <v>1</v>
      </c>
      <c r="B1" s="10"/>
      <c r="C1" s="10"/>
      <c r="D1" s="10"/>
      <c r="E1" s="10"/>
      <c r="F1" s="10"/>
      <c r="G1" s="10"/>
      <c r="H1" s="10"/>
      <c r="I1" s="10"/>
      <c r="J1" s="10"/>
      <c r="K1" s="10"/>
      <c r="L1" s="10"/>
      <c r="M1" s="10"/>
      <c r="N1" s="10"/>
    </row>
    <row r="2" spans="1:14" ht="15.75">
      <c r="A2" s="60" t="s">
        <v>9</v>
      </c>
      <c r="B2" s="10"/>
      <c r="C2" s="10"/>
      <c r="D2" s="10"/>
      <c r="E2" s="10"/>
      <c r="F2" s="10"/>
      <c r="G2" s="10"/>
      <c r="H2" s="10"/>
      <c r="I2" s="10"/>
      <c r="J2" s="10"/>
      <c r="K2" s="10"/>
      <c r="L2" s="10"/>
      <c r="M2" s="10"/>
      <c r="N2" s="10"/>
    </row>
    <row r="3" spans="1:14">
      <c r="A3" s="23" t="s">
        <v>62</v>
      </c>
      <c r="B3" s="10"/>
      <c r="C3" s="10"/>
      <c r="D3" s="10"/>
      <c r="E3" s="10"/>
      <c r="F3" s="10"/>
      <c r="G3" s="10"/>
      <c r="H3" s="10"/>
      <c r="I3" s="10"/>
      <c r="J3" s="10"/>
      <c r="K3" s="10"/>
      <c r="L3" s="10"/>
      <c r="M3" s="10"/>
      <c r="N3" s="10"/>
    </row>
    <row r="4" spans="1:14">
      <c r="A4" s="10"/>
      <c r="B4" s="10"/>
      <c r="C4" s="10"/>
      <c r="D4" s="24" t="s">
        <v>0</v>
      </c>
      <c r="E4" s="10"/>
      <c r="F4" s="10"/>
      <c r="G4" s="10"/>
      <c r="H4" s="10"/>
      <c r="I4" s="10"/>
      <c r="J4" s="10"/>
      <c r="K4" s="10"/>
      <c r="L4" s="10"/>
      <c r="M4" s="10"/>
      <c r="N4" s="10"/>
    </row>
    <row r="5" spans="1:14" ht="16.5" thickBot="1">
      <c r="A5" s="60"/>
      <c r="B5" s="10"/>
      <c r="C5" s="10"/>
      <c r="D5" s="10"/>
      <c r="E5" s="10"/>
      <c r="F5" s="10"/>
      <c r="G5" s="10"/>
      <c r="H5" s="10"/>
      <c r="I5" s="10"/>
      <c r="J5" s="10"/>
      <c r="K5" s="10"/>
      <c r="L5" s="10"/>
      <c r="M5" s="10"/>
      <c r="N5" s="10"/>
    </row>
    <row r="6" spans="1:14" ht="16.5" thickBot="1">
      <c r="A6" s="268" t="str">
        <f>+'S&amp;D'!A12</f>
        <v>Air Freight Carriers</v>
      </c>
      <c r="B6" s="200"/>
      <c r="C6" s="10"/>
      <c r="D6" s="10"/>
      <c r="E6" s="10"/>
      <c r="F6" s="10"/>
      <c r="G6" s="10"/>
      <c r="H6" s="10"/>
      <c r="I6" s="10"/>
      <c r="J6" s="10"/>
      <c r="K6" s="10"/>
      <c r="L6" s="10"/>
      <c r="M6" s="10"/>
      <c r="N6" s="10"/>
    </row>
    <row r="7" spans="1:14" ht="15.75">
      <c r="A7" s="60"/>
      <c r="B7" s="10"/>
      <c r="C7" s="10"/>
      <c r="D7" s="10"/>
      <c r="E7" s="10"/>
      <c r="F7" s="10"/>
      <c r="G7" s="10"/>
      <c r="H7" s="10"/>
      <c r="I7" s="10"/>
      <c r="J7" s="10"/>
      <c r="K7" s="10"/>
      <c r="L7" s="10"/>
      <c r="M7" s="10"/>
      <c r="N7" s="10"/>
    </row>
    <row r="8" spans="1:14" ht="16.5" thickBot="1">
      <c r="A8" s="60"/>
      <c r="B8" s="10"/>
      <c r="C8" s="26"/>
      <c r="D8" s="26"/>
      <c r="E8" s="26"/>
      <c r="F8" s="10"/>
      <c r="G8" s="10"/>
      <c r="H8" s="26"/>
      <c r="I8" s="26"/>
      <c r="J8" s="26"/>
      <c r="K8" s="26"/>
      <c r="L8" s="26"/>
      <c r="M8" s="26"/>
      <c r="N8" s="10"/>
    </row>
    <row r="9" spans="1:14" ht="20.25">
      <c r="B9" s="10"/>
      <c r="C9" s="10"/>
      <c r="D9" s="29" t="s">
        <v>318</v>
      </c>
      <c r="E9" s="10"/>
      <c r="F9" s="10"/>
      <c r="G9" s="10"/>
      <c r="H9" s="10"/>
      <c r="I9" s="10"/>
      <c r="J9" s="10"/>
      <c r="K9" s="66" t="s">
        <v>319</v>
      </c>
      <c r="L9" s="10"/>
      <c r="M9" s="10"/>
      <c r="N9" s="10"/>
    </row>
    <row r="10" spans="1:14" ht="18.75" thickBot="1">
      <c r="A10" s="28"/>
      <c r="B10" s="10"/>
      <c r="C10" s="26"/>
      <c r="D10" s="30" t="s">
        <v>76</v>
      </c>
      <c r="E10" s="26"/>
      <c r="F10" s="10"/>
      <c r="G10" s="10"/>
      <c r="H10" s="26"/>
      <c r="I10" s="26"/>
      <c r="J10" s="26"/>
      <c r="K10" s="30" t="s">
        <v>76</v>
      </c>
      <c r="L10" s="26"/>
      <c r="M10" s="26"/>
      <c r="N10" s="10"/>
    </row>
    <row r="11" spans="1:14" ht="15.75" thickBot="1">
      <c r="A11" s="31" t="s">
        <v>0</v>
      </c>
      <c r="B11" s="31" t="s">
        <v>0</v>
      </c>
      <c r="C11" s="31" t="s">
        <v>0</v>
      </c>
      <c r="D11" s="31" t="s">
        <v>0</v>
      </c>
      <c r="E11" s="31" t="s">
        <v>0</v>
      </c>
      <c r="F11" s="31" t="s">
        <v>0</v>
      </c>
      <c r="G11" s="38"/>
      <c r="H11" s="26"/>
      <c r="I11" s="31" t="s">
        <v>0</v>
      </c>
      <c r="J11" s="26"/>
      <c r="K11" s="26"/>
      <c r="L11" s="26"/>
      <c r="M11" s="26"/>
      <c r="N11" s="10"/>
    </row>
    <row r="12" spans="1:14">
      <c r="A12" s="32" t="s">
        <v>0</v>
      </c>
      <c r="B12" s="32" t="s">
        <v>3</v>
      </c>
      <c r="C12" s="32" t="s">
        <v>362</v>
      </c>
      <c r="D12" s="32" t="s">
        <v>112</v>
      </c>
      <c r="E12" s="32" t="s">
        <v>112</v>
      </c>
      <c r="F12" s="32" t="s">
        <v>26</v>
      </c>
      <c r="G12" s="32"/>
      <c r="H12" s="32" t="s">
        <v>3</v>
      </c>
      <c r="I12" s="32" t="s">
        <v>362</v>
      </c>
      <c r="J12" s="32" t="s">
        <v>112</v>
      </c>
      <c r="K12" s="32"/>
      <c r="L12" s="32" t="s">
        <v>112</v>
      </c>
      <c r="M12" s="32" t="s">
        <v>26</v>
      </c>
      <c r="N12" s="10"/>
    </row>
    <row r="13" spans="1:14" ht="15.75" thickBot="1">
      <c r="A13" s="34" t="s">
        <v>2</v>
      </c>
      <c r="B13" s="34" t="s">
        <v>4</v>
      </c>
      <c r="C13" s="34" t="s">
        <v>27</v>
      </c>
      <c r="D13" s="34" t="s">
        <v>171</v>
      </c>
      <c r="E13" s="34" t="s">
        <v>28</v>
      </c>
      <c r="F13" s="34" t="s">
        <v>29</v>
      </c>
      <c r="G13" s="32"/>
      <c r="H13" s="34" t="s">
        <v>4</v>
      </c>
      <c r="I13" s="34" t="s">
        <v>27</v>
      </c>
      <c r="J13" s="34" t="s">
        <v>171</v>
      </c>
      <c r="K13" s="34"/>
      <c r="L13" s="34" t="s">
        <v>28</v>
      </c>
      <c r="M13" s="34" t="s">
        <v>29</v>
      </c>
      <c r="N13" s="10"/>
    </row>
    <row r="14" spans="1:14">
      <c r="A14" s="36" t="s">
        <v>0</v>
      </c>
      <c r="B14" s="36" t="s">
        <v>0</v>
      </c>
      <c r="C14" s="37" t="s">
        <v>115</v>
      </c>
      <c r="D14" s="36" t="s">
        <v>116</v>
      </c>
      <c r="E14" s="36" t="s">
        <v>0</v>
      </c>
      <c r="F14" s="36" t="s">
        <v>0</v>
      </c>
      <c r="G14" s="38"/>
      <c r="H14" s="36" t="s">
        <v>0</v>
      </c>
      <c r="I14" s="37" t="s">
        <v>115</v>
      </c>
      <c r="J14" s="36" t="s">
        <v>117</v>
      </c>
      <c r="K14" s="36"/>
      <c r="L14" s="36" t="s">
        <v>0</v>
      </c>
      <c r="M14" s="36" t="s">
        <v>0</v>
      </c>
      <c r="N14" s="10"/>
    </row>
    <row r="15" spans="1:14">
      <c r="A15" s="32"/>
      <c r="B15" s="32"/>
      <c r="C15" s="32"/>
      <c r="D15" s="32"/>
      <c r="E15" s="32"/>
      <c r="F15" s="32"/>
      <c r="G15" s="32"/>
      <c r="H15" s="32"/>
      <c r="I15" s="32"/>
      <c r="J15" s="32"/>
      <c r="K15" s="32"/>
      <c r="L15" s="32"/>
      <c r="M15" s="32"/>
      <c r="N15" s="10"/>
    </row>
    <row r="16" spans="1:14">
      <c r="A16" s="10"/>
      <c r="B16" s="10"/>
      <c r="C16" s="10"/>
      <c r="D16" s="10"/>
      <c r="E16" s="10"/>
      <c r="F16" s="10"/>
      <c r="G16" s="10"/>
      <c r="H16" s="10"/>
      <c r="I16" s="10"/>
      <c r="J16" s="10"/>
      <c r="K16" s="10"/>
      <c r="L16" s="10"/>
      <c r="M16" s="10"/>
      <c r="N16" s="10"/>
    </row>
    <row r="17" spans="1:14" ht="15.75">
      <c r="A17" s="60" t="str">
        <f>+'S&amp;D'!A22</f>
        <v>Air Transport Services Group</v>
      </c>
      <c r="B17" s="86" t="str">
        <f>+'S&amp;D'!B22</f>
        <v>ATSG</v>
      </c>
      <c r="C17" s="57">
        <f>+'S&amp;D'!G22</f>
        <v>25.98</v>
      </c>
      <c r="D17" s="407">
        <v>7.3</v>
      </c>
      <c r="E17" s="68">
        <f>C17/D17</f>
        <v>3.558904109589041</v>
      </c>
      <c r="F17" s="54">
        <f t="shared" ref="F17" si="0">1/E17</f>
        <v>0.28098537336412627</v>
      </c>
      <c r="G17" s="54"/>
      <c r="H17" s="86" t="str">
        <f>+B17</f>
        <v>ATSG</v>
      </c>
      <c r="I17" s="57">
        <f>+C17</f>
        <v>25.98</v>
      </c>
      <c r="J17" s="407">
        <v>7.9</v>
      </c>
      <c r="K17" s="407"/>
      <c r="L17" s="68">
        <f>I17/J17</f>
        <v>3.2886075949367086</v>
      </c>
      <c r="M17" s="54">
        <f t="shared" ref="M17" si="1">1/L17</f>
        <v>0.30408006158583528</v>
      </c>
      <c r="N17" s="10"/>
    </row>
    <row r="18" spans="1:14" ht="15.75">
      <c r="A18" s="60" t="str">
        <f>+'S&amp;D'!A23</f>
        <v>Atlas Air</v>
      </c>
      <c r="B18" s="86" t="str">
        <f>+'S&amp;D'!B23</f>
        <v>AAWW</v>
      </c>
      <c r="C18" s="57">
        <f>+'S&amp;D'!G23</f>
        <v>100.8</v>
      </c>
      <c r="D18" s="407">
        <v>25.15</v>
      </c>
      <c r="E18" s="68">
        <f t="shared" ref="E18:E20" si="2">C18/D18</f>
        <v>4.0079522862823067</v>
      </c>
      <c r="F18" s="54">
        <f t="shared" ref="F18:F20" si="3">1/E18</f>
        <v>0.24950396825396823</v>
      </c>
      <c r="G18" s="54"/>
      <c r="H18" s="86" t="str">
        <f t="shared" ref="H18:H20" si="4">+B18</f>
        <v>AAWW</v>
      </c>
      <c r="I18" s="57">
        <f t="shared" ref="I18:I20" si="5">+C18</f>
        <v>100.8</v>
      </c>
      <c r="J18" s="407">
        <v>25.3</v>
      </c>
      <c r="K18" s="407"/>
      <c r="L18" s="68">
        <f t="shared" ref="L18:L20" si="6">I18/J18</f>
        <v>3.9841897233201577</v>
      </c>
      <c r="M18" s="54">
        <f t="shared" ref="M18:M20" si="7">1/L18</f>
        <v>0.25099206349206349</v>
      </c>
      <c r="N18" s="10"/>
    </row>
    <row r="19" spans="1:14" ht="15.75">
      <c r="A19" s="60" t="str">
        <f>+'S&amp;D'!A24</f>
        <v xml:space="preserve">FedEx Corp </v>
      </c>
      <c r="B19" s="86" t="str">
        <f>+'S&amp;D'!B24</f>
        <v>FDX</v>
      </c>
      <c r="C19" s="57">
        <f>+'S&amp;D'!G24</f>
        <v>173.2</v>
      </c>
      <c r="D19" s="407">
        <v>36.450000000000003</v>
      </c>
      <c r="E19" s="68">
        <f t="shared" si="2"/>
        <v>4.751714677640603</v>
      </c>
      <c r="F19" s="54">
        <f t="shared" si="3"/>
        <v>0.21045034642032334</v>
      </c>
      <c r="G19" s="54"/>
      <c r="H19" s="86" t="str">
        <f t="shared" si="4"/>
        <v>FDX</v>
      </c>
      <c r="I19" s="57">
        <f t="shared" si="5"/>
        <v>173.2</v>
      </c>
      <c r="J19" s="407">
        <v>30.25</v>
      </c>
      <c r="K19" s="407"/>
      <c r="L19" s="68">
        <f t="shared" si="6"/>
        <v>5.7256198347107432</v>
      </c>
      <c r="M19" s="54">
        <f t="shared" si="7"/>
        <v>0.17465357967667439</v>
      </c>
      <c r="N19" s="10"/>
    </row>
    <row r="20" spans="1:14" ht="15.75">
      <c r="A20" s="60" t="str">
        <f>+'S&amp;D'!A25</f>
        <v xml:space="preserve">United Parcel Service </v>
      </c>
      <c r="B20" s="86" t="str">
        <f>+'S&amp;D'!B25</f>
        <v>UPS</v>
      </c>
      <c r="C20" s="57">
        <f>+'S&amp;D'!G25</f>
        <v>173.84</v>
      </c>
      <c r="D20" s="407">
        <v>15.65</v>
      </c>
      <c r="E20" s="68">
        <f t="shared" si="2"/>
        <v>11.107987220447285</v>
      </c>
      <c r="F20" s="54">
        <f t="shared" si="3"/>
        <v>9.0025310630464789E-2</v>
      </c>
      <c r="G20" s="54"/>
      <c r="H20" s="86" t="str">
        <f t="shared" si="4"/>
        <v>UPS</v>
      </c>
      <c r="I20" s="57">
        <f t="shared" si="5"/>
        <v>173.84</v>
      </c>
      <c r="J20" s="407">
        <v>15.6</v>
      </c>
      <c r="K20" s="407"/>
      <c r="L20" s="68">
        <f t="shared" si="6"/>
        <v>11.143589743589745</v>
      </c>
      <c r="M20" s="54">
        <f t="shared" si="7"/>
        <v>8.9737689829728476E-2</v>
      </c>
      <c r="N20" s="10"/>
    </row>
    <row r="21" spans="1:14" ht="15.75" thickBot="1">
      <c r="A21" s="10"/>
      <c r="B21" s="67"/>
      <c r="C21" s="67"/>
      <c r="D21" s="67"/>
      <c r="E21" s="67"/>
      <c r="F21" s="67"/>
      <c r="G21" s="10"/>
      <c r="H21" s="67"/>
      <c r="I21" s="67"/>
      <c r="J21" s="302" t="s">
        <v>0</v>
      </c>
      <c r="K21" s="67"/>
      <c r="L21" s="67"/>
      <c r="M21" s="67"/>
      <c r="N21" s="10"/>
    </row>
    <row r="22" spans="1:14" ht="15.75" thickTop="1">
      <c r="A22" s="10"/>
      <c r="C22" s="12" t="s">
        <v>45</v>
      </c>
      <c r="D22" s="391">
        <v>36.450000000000003</v>
      </c>
      <c r="E22" s="391">
        <v>11.11</v>
      </c>
      <c r="F22" s="389">
        <v>0.28100000000000003</v>
      </c>
      <c r="I22" s="12" t="s">
        <v>45</v>
      </c>
      <c r="J22" s="391">
        <v>30.25</v>
      </c>
      <c r="K22" s="391" t="s">
        <v>0</v>
      </c>
      <c r="L22" s="391">
        <v>11.14</v>
      </c>
      <c r="M22" s="389">
        <v>0.30409999999999998</v>
      </c>
      <c r="N22" s="10"/>
    </row>
    <row r="23" spans="1:14">
      <c r="A23" s="10"/>
      <c r="C23" s="323" t="s">
        <v>46</v>
      </c>
      <c r="D23" s="392">
        <v>7.3</v>
      </c>
      <c r="E23" s="392">
        <v>3.56</v>
      </c>
      <c r="F23" s="390">
        <v>0.09</v>
      </c>
      <c r="I23" s="323" t="s">
        <v>46</v>
      </c>
      <c r="J23" s="392">
        <v>7.9</v>
      </c>
      <c r="K23" s="392"/>
      <c r="L23" s="392">
        <v>3.29</v>
      </c>
      <c r="M23" s="390">
        <v>8.9800000000000005E-2</v>
      </c>
      <c r="N23" s="10"/>
    </row>
    <row r="24" spans="1:14">
      <c r="A24" s="10"/>
      <c r="C24" s="12" t="s">
        <v>18</v>
      </c>
      <c r="D24" s="68">
        <f>MEDIAN(D17:D20)</f>
        <v>20.399999999999999</v>
      </c>
      <c r="E24" s="19">
        <f>MEDIAN(E17:E20)</f>
        <v>4.3798334819614553</v>
      </c>
      <c r="F24" s="54">
        <f>MEDIAN(F17:F20)</f>
        <v>0.2299771573371458</v>
      </c>
      <c r="G24" s="54"/>
      <c r="I24" s="12" t="s">
        <v>18</v>
      </c>
      <c r="J24" s="68">
        <f>MEDIAN(J17:J20)</f>
        <v>20.45</v>
      </c>
      <c r="K24" s="68"/>
      <c r="L24" s="19">
        <f>MEDIAN(L17:L20)</f>
        <v>4.8549047790154507</v>
      </c>
      <c r="M24" s="54">
        <f>MEDIAN(M17:M20)</f>
        <v>0.21282282158436894</v>
      </c>
      <c r="N24" s="10"/>
    </row>
    <row r="25" spans="1:14">
      <c r="A25" s="10"/>
      <c r="C25" s="12" t="s">
        <v>443</v>
      </c>
      <c r="D25" s="15">
        <f>AVERAGE(D17:D20)</f>
        <v>21.137500000000003</v>
      </c>
      <c r="E25" s="19">
        <f>AVERAGE(E17:E20)</f>
        <v>5.8566395734898089</v>
      </c>
      <c r="F25" s="69">
        <f>AVERAGE(F17:F20)</f>
        <v>0.20774124966722066</v>
      </c>
      <c r="G25" s="69"/>
      <c r="I25" s="12" t="s">
        <v>443</v>
      </c>
      <c r="J25" s="15">
        <f>AVERAGE(J17:J20)</f>
        <v>19.762499999999999</v>
      </c>
      <c r="K25" s="15"/>
      <c r="L25" s="19">
        <f>AVERAGE(L17:L20)</f>
        <v>6.0355017241393387</v>
      </c>
      <c r="M25" s="69">
        <f>AVERAGE(M17:M20)</f>
        <v>0.2048658486460754</v>
      </c>
      <c r="N25" s="10"/>
    </row>
    <row r="26" spans="1:14">
      <c r="A26" s="10"/>
      <c r="B26" s="10"/>
      <c r="C26" s="10"/>
      <c r="D26" s="10"/>
      <c r="E26" s="10"/>
      <c r="F26" s="10"/>
      <c r="G26" s="10"/>
      <c r="H26" s="10"/>
      <c r="I26" s="10"/>
      <c r="J26" s="10"/>
      <c r="K26" s="10"/>
      <c r="L26" s="10"/>
      <c r="M26" s="10"/>
      <c r="N26" s="10"/>
    </row>
    <row r="27" spans="1:14" ht="20.25">
      <c r="A27" s="10"/>
      <c r="B27" s="10"/>
      <c r="C27" s="10"/>
      <c r="D27" s="73" t="s">
        <v>74</v>
      </c>
      <c r="E27" s="396">
        <v>5.86</v>
      </c>
      <c r="F27" s="397">
        <v>0.2077</v>
      </c>
      <c r="G27" s="276"/>
      <c r="H27" s="10"/>
      <c r="I27" s="10"/>
      <c r="J27" s="73" t="s">
        <v>74</v>
      </c>
      <c r="K27" s="47"/>
      <c r="L27" s="398">
        <v>6.04</v>
      </c>
      <c r="M27" s="397">
        <v>0.2049</v>
      </c>
      <c r="N27" s="10"/>
    </row>
    <row r="28" spans="1:14" ht="30" customHeight="1" thickBot="1">
      <c r="A28" s="10"/>
      <c r="B28" s="10"/>
      <c r="C28" s="10"/>
      <c r="D28" s="10"/>
      <c r="E28" s="10"/>
      <c r="G28" s="70"/>
      <c r="H28" s="10"/>
      <c r="I28" s="10"/>
      <c r="J28" s="10"/>
      <c r="K28" s="10"/>
      <c r="L28" s="10"/>
      <c r="M28" s="10"/>
      <c r="N28" s="10"/>
    </row>
    <row r="29" spans="1:14" ht="21" thickBot="1">
      <c r="A29" s="71" t="s">
        <v>0</v>
      </c>
      <c r="B29" s="10"/>
      <c r="C29" s="10"/>
      <c r="D29" s="10"/>
      <c r="E29" s="21" t="s">
        <v>126</v>
      </c>
      <c r="F29" s="21"/>
      <c r="G29" s="449">
        <f>(+E27+L27)/2</f>
        <v>5.95</v>
      </c>
      <c r="H29" s="448">
        <f>(+F27+M27)/2</f>
        <v>0.20629999999999998</v>
      </c>
      <c r="K29" s="10"/>
      <c r="N29" s="10"/>
    </row>
    <row r="30" spans="1:14" ht="16.5">
      <c r="A30" s="71" t="s">
        <v>0</v>
      </c>
      <c r="B30" s="10"/>
      <c r="C30" s="10"/>
      <c r="D30" s="10"/>
      <c r="E30" s="10"/>
      <c r="F30" s="10"/>
      <c r="G30" s="10"/>
      <c r="H30" s="10"/>
      <c r="I30" s="10"/>
      <c r="J30" s="10"/>
      <c r="K30" s="10"/>
      <c r="L30" s="10"/>
      <c r="M30" s="10"/>
      <c r="N30" s="10"/>
    </row>
    <row r="31" spans="1:14">
      <c r="A31" s="10"/>
      <c r="B31" s="10"/>
      <c r="C31" s="10"/>
      <c r="D31" s="10"/>
      <c r="E31" s="10"/>
      <c r="F31" s="10"/>
      <c r="G31" s="10"/>
      <c r="H31" s="10"/>
      <c r="I31" s="10"/>
      <c r="J31" s="10"/>
      <c r="K31" s="10"/>
      <c r="L31" s="10"/>
      <c r="M31" s="10"/>
      <c r="N31" s="10"/>
    </row>
    <row r="32" spans="1:14">
      <c r="A32" s="10"/>
      <c r="B32" s="10"/>
      <c r="C32" s="10"/>
      <c r="D32" s="10"/>
      <c r="E32" s="10"/>
      <c r="F32" s="10"/>
      <c r="G32" s="10"/>
      <c r="H32" s="10"/>
      <c r="I32" s="10"/>
      <c r="J32" s="10"/>
      <c r="K32" s="10"/>
      <c r="L32" s="10"/>
      <c r="M32" s="10"/>
      <c r="N32" s="10"/>
    </row>
    <row r="33" spans="1:1" ht="15.75">
      <c r="A33" s="102" t="s">
        <v>368</v>
      </c>
    </row>
    <row r="34" spans="1:1" ht="15.75">
      <c r="A34" s="102" t="s">
        <v>369</v>
      </c>
    </row>
    <row r="35" spans="1:1" ht="15.75">
      <c r="A35" s="102" t="s">
        <v>370</v>
      </c>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53"/>
  <sheetViews>
    <sheetView view="pageBreakPreview" topLeftCell="A17" zoomScale="60" zoomScaleNormal="80" workbookViewId="0">
      <selection activeCell="F53" sqref="F53:G53"/>
    </sheetView>
  </sheetViews>
  <sheetFormatPr defaultRowHeight="15"/>
  <cols>
    <col min="1" max="1" width="53.85546875" customWidth="1"/>
    <col min="2" max="2" width="8" customWidth="1"/>
    <col min="3" max="3" width="12.28515625" bestFit="1" customWidth="1"/>
    <col min="4" max="4" width="20.140625" customWidth="1"/>
    <col min="5" max="5" width="18.85546875" customWidth="1"/>
    <col min="6" max="6" width="19" customWidth="1"/>
    <col min="7" max="7" width="16.42578125" customWidth="1"/>
    <col min="8" max="10" width="19.28515625" customWidth="1"/>
    <col min="11" max="12" width="21.5703125" customWidth="1"/>
    <col min="13" max="13" width="18.28515625" customWidth="1"/>
  </cols>
  <sheetData>
    <row r="1" spans="1:15" ht="20.25">
      <c r="A1" s="21" t="s">
        <v>1</v>
      </c>
      <c r="B1" s="21"/>
      <c r="C1" s="10"/>
      <c r="D1" s="10"/>
      <c r="E1" s="10"/>
      <c r="F1" s="10"/>
      <c r="G1" s="10"/>
      <c r="H1" s="10"/>
      <c r="I1" s="10"/>
      <c r="J1" s="10"/>
      <c r="K1" s="10"/>
      <c r="L1" s="10"/>
      <c r="M1" s="10"/>
      <c r="N1" s="10"/>
      <c r="O1" s="10"/>
    </row>
    <row r="2" spans="1:15" ht="15.75">
      <c r="A2" s="60" t="s">
        <v>9</v>
      </c>
      <c r="B2" s="60"/>
      <c r="C2" s="10"/>
      <c r="D2" s="10"/>
      <c r="E2" s="10"/>
      <c r="F2" s="10"/>
      <c r="G2" s="10"/>
      <c r="H2" s="10"/>
      <c r="I2" s="10"/>
      <c r="J2" s="10"/>
      <c r="K2" s="10"/>
      <c r="L2" s="10"/>
      <c r="M2" s="10"/>
      <c r="N2" s="10"/>
      <c r="O2" s="10"/>
    </row>
    <row r="3" spans="1:15">
      <c r="A3" s="23" t="s">
        <v>62</v>
      </c>
      <c r="B3" s="41"/>
      <c r="C3" s="10"/>
      <c r="D3" s="10"/>
      <c r="E3" s="10"/>
      <c r="F3" s="10"/>
      <c r="G3" s="10"/>
      <c r="H3" s="10"/>
      <c r="I3" s="10"/>
      <c r="J3" s="10"/>
      <c r="K3" s="10"/>
      <c r="L3" s="10"/>
      <c r="M3" s="10"/>
      <c r="N3" s="10"/>
      <c r="O3" s="10"/>
    </row>
    <row r="4" spans="1:15">
      <c r="A4" s="10"/>
      <c r="B4" s="10"/>
      <c r="C4" s="10"/>
      <c r="D4" s="10"/>
      <c r="E4" s="24" t="s">
        <v>0</v>
      </c>
      <c r="F4" s="10"/>
      <c r="G4" s="10"/>
      <c r="H4" s="10"/>
      <c r="I4" s="10"/>
      <c r="J4" s="10"/>
      <c r="K4" s="10"/>
      <c r="L4" s="10"/>
      <c r="M4" s="10"/>
      <c r="N4" s="10"/>
      <c r="O4" s="10"/>
    </row>
    <row r="5" spans="1:15" ht="16.5" thickBot="1">
      <c r="A5" s="60"/>
      <c r="B5" s="60"/>
      <c r="C5" s="10"/>
      <c r="D5" s="10"/>
      <c r="E5" s="10"/>
      <c r="F5" s="10"/>
      <c r="G5" s="10"/>
      <c r="H5" s="10"/>
      <c r="I5" s="10"/>
      <c r="J5" s="10"/>
      <c r="K5" s="10"/>
      <c r="L5" s="10"/>
      <c r="M5" s="10"/>
      <c r="N5" s="10"/>
      <c r="O5" s="10"/>
    </row>
    <row r="6" spans="1:15" ht="18.75" thickBot="1">
      <c r="A6" s="266" t="str">
        <f>+'S&amp;D'!A12</f>
        <v>Air Freight Carriers</v>
      </c>
      <c r="B6" s="269"/>
      <c r="C6" s="10"/>
      <c r="D6" s="10"/>
      <c r="E6" s="10"/>
      <c r="F6" s="10"/>
      <c r="G6" s="10"/>
      <c r="H6" s="10"/>
      <c r="I6" s="10"/>
      <c r="J6" s="10"/>
      <c r="K6" s="10"/>
      <c r="L6" s="10"/>
      <c r="M6" s="10"/>
      <c r="N6" s="10"/>
      <c r="O6" s="10"/>
    </row>
    <row r="7" spans="1:15" ht="16.5" thickBot="1">
      <c r="A7" s="60"/>
      <c r="B7" s="60"/>
      <c r="C7" s="26"/>
      <c r="D7" s="26"/>
      <c r="E7" s="26"/>
      <c r="F7" s="26"/>
      <c r="G7" s="26"/>
      <c r="H7" s="10"/>
      <c r="I7" s="26"/>
      <c r="J7" s="26"/>
      <c r="K7" s="26"/>
      <c r="L7" s="26"/>
      <c r="M7" s="26"/>
      <c r="N7" s="10"/>
      <c r="O7" s="10"/>
    </row>
    <row r="8" spans="1:15" ht="20.25">
      <c r="B8" s="28"/>
      <c r="C8" s="10"/>
      <c r="D8" s="10"/>
      <c r="E8" s="29" t="s">
        <v>238</v>
      </c>
      <c r="F8" s="10"/>
      <c r="G8" s="10"/>
      <c r="H8" s="10"/>
      <c r="I8" s="10"/>
      <c r="J8" s="10"/>
      <c r="K8" s="29" t="s">
        <v>239</v>
      </c>
      <c r="L8" s="10"/>
      <c r="M8" s="10"/>
      <c r="N8" s="10"/>
      <c r="O8" s="10"/>
    </row>
    <row r="9" spans="1:15" ht="18.75" thickBot="1">
      <c r="A9" s="28"/>
      <c r="B9" s="28"/>
      <c r="C9" s="26"/>
      <c r="D9" s="26"/>
      <c r="E9" s="34" t="s">
        <v>76</v>
      </c>
      <c r="F9" s="26"/>
      <c r="G9" s="26"/>
      <c r="H9" s="10"/>
      <c r="I9" s="26"/>
      <c r="J9" s="26"/>
      <c r="K9" s="34" t="s">
        <v>76</v>
      </c>
      <c r="L9" s="26"/>
      <c r="M9" s="26"/>
      <c r="N9" s="10"/>
      <c r="O9" s="10"/>
    </row>
    <row r="10" spans="1:15" ht="15.75" thickBot="1">
      <c r="A10" s="31" t="s">
        <v>0</v>
      </c>
      <c r="B10" s="31"/>
      <c r="C10" s="31" t="s">
        <v>0</v>
      </c>
      <c r="D10" s="31" t="s">
        <v>0</v>
      </c>
      <c r="E10" s="31" t="s">
        <v>0</v>
      </c>
      <c r="F10" s="31" t="s">
        <v>0</v>
      </c>
      <c r="G10" s="31" t="s">
        <v>0</v>
      </c>
      <c r="H10" s="10"/>
      <c r="I10" s="26"/>
      <c r="J10" s="26"/>
      <c r="K10" s="26"/>
      <c r="L10" s="26"/>
      <c r="M10" s="26"/>
      <c r="N10" s="10"/>
      <c r="O10" s="10"/>
    </row>
    <row r="11" spans="1:15">
      <c r="A11" s="32" t="s">
        <v>0</v>
      </c>
      <c r="B11" s="32"/>
      <c r="C11" s="32" t="s">
        <v>3</v>
      </c>
      <c r="D11" s="32" t="s">
        <v>362</v>
      </c>
      <c r="E11" s="32" t="s">
        <v>364</v>
      </c>
      <c r="F11" s="32" t="s">
        <v>113</v>
      </c>
      <c r="G11" s="32" t="s">
        <v>26</v>
      </c>
      <c r="H11" s="10"/>
      <c r="I11" s="32" t="s">
        <v>3</v>
      </c>
      <c r="J11" s="32" t="s">
        <v>362</v>
      </c>
      <c r="K11" s="32" t="s">
        <v>364</v>
      </c>
      <c r="L11" s="32" t="s">
        <v>113</v>
      </c>
      <c r="M11" s="32" t="s">
        <v>26</v>
      </c>
      <c r="N11" s="10"/>
      <c r="O11" s="10"/>
    </row>
    <row r="12" spans="1:15" ht="15.75" thickBot="1">
      <c r="A12" s="34" t="s">
        <v>2</v>
      </c>
      <c r="B12" s="34"/>
      <c r="C12" s="34" t="s">
        <v>4</v>
      </c>
      <c r="D12" s="34" t="s">
        <v>27</v>
      </c>
      <c r="E12" s="34" t="s">
        <v>171</v>
      </c>
      <c r="F12" s="34" t="s">
        <v>28</v>
      </c>
      <c r="G12" s="34" t="s">
        <v>29</v>
      </c>
      <c r="H12" s="10"/>
      <c r="I12" s="34" t="s">
        <v>4</v>
      </c>
      <c r="J12" s="34" t="s">
        <v>27</v>
      </c>
      <c r="K12" s="34" t="s">
        <v>171</v>
      </c>
      <c r="L12" s="34" t="s">
        <v>28</v>
      </c>
      <c r="M12" s="34" t="s">
        <v>29</v>
      </c>
      <c r="N12" s="10"/>
      <c r="O12" s="10"/>
    </row>
    <row r="13" spans="1:15">
      <c r="A13" s="36" t="s">
        <v>0</v>
      </c>
      <c r="B13" s="36"/>
      <c r="C13" s="36" t="s">
        <v>0</v>
      </c>
      <c r="D13" s="37" t="s">
        <v>115</v>
      </c>
      <c r="E13" s="72" t="s">
        <v>116</v>
      </c>
      <c r="F13" s="36" t="s">
        <v>0</v>
      </c>
      <c r="G13" s="36" t="s">
        <v>0</v>
      </c>
      <c r="H13" s="10"/>
      <c r="I13" s="36" t="s">
        <v>0</v>
      </c>
      <c r="J13" s="37" t="s">
        <v>115</v>
      </c>
      <c r="K13" s="72" t="s">
        <v>114</v>
      </c>
      <c r="L13" s="36" t="s">
        <v>0</v>
      </c>
      <c r="M13" s="36" t="s">
        <v>0</v>
      </c>
      <c r="N13" s="10"/>
      <c r="O13" s="10"/>
    </row>
    <row r="14" spans="1:15">
      <c r="A14" s="32"/>
      <c r="B14" s="32"/>
      <c r="C14" s="32"/>
      <c r="D14" s="32"/>
      <c r="E14" s="32"/>
      <c r="F14" s="32"/>
      <c r="G14" s="32"/>
      <c r="H14" s="10"/>
      <c r="I14" s="32"/>
      <c r="J14" s="32"/>
      <c r="K14" s="32"/>
      <c r="L14" s="32"/>
      <c r="M14" s="32"/>
      <c r="N14" s="10"/>
      <c r="O14" s="10"/>
    </row>
    <row r="15" spans="1:15">
      <c r="A15" s="10"/>
      <c r="B15" s="10"/>
      <c r="C15" s="10"/>
      <c r="D15" s="10"/>
      <c r="E15" s="10"/>
      <c r="F15" s="10"/>
      <c r="G15" s="10"/>
      <c r="H15" s="10"/>
      <c r="I15" s="10"/>
      <c r="J15" s="10"/>
      <c r="K15" s="10"/>
      <c r="L15" s="10"/>
      <c r="M15" s="10"/>
      <c r="N15" s="10"/>
      <c r="O15" s="10"/>
    </row>
    <row r="16" spans="1:15" ht="15.75">
      <c r="A16" s="60" t="str">
        <f>+'S&amp;D'!A22</f>
        <v>Air Transport Services Group</v>
      </c>
      <c r="B16" s="60"/>
      <c r="C16" s="86" t="str">
        <f>+'S&amp;D'!B22</f>
        <v>ATSG</v>
      </c>
      <c r="D16" s="57">
        <f>'S&amp;D'!G22</f>
        <v>25.98</v>
      </c>
      <c r="E16" s="407">
        <v>2.2999999999999998</v>
      </c>
      <c r="F16" s="68">
        <f>D16/E16</f>
        <v>11.295652173913044</v>
      </c>
      <c r="G16" s="54">
        <f t="shared" ref="G16" si="0">1/F16</f>
        <v>8.8529638183217851E-2</v>
      </c>
      <c r="H16" s="10"/>
      <c r="I16" s="32" t="str">
        <f>+C16</f>
        <v>ATSG</v>
      </c>
      <c r="J16" s="57">
        <f>+D16</f>
        <v>25.98</v>
      </c>
      <c r="K16" s="407">
        <v>2.5</v>
      </c>
      <c r="L16" s="68">
        <f>J16/K16</f>
        <v>10.391999999999999</v>
      </c>
      <c r="M16" s="54">
        <f t="shared" ref="M16" si="1">1/L16</f>
        <v>9.6227867590454194E-2</v>
      </c>
      <c r="N16" s="10"/>
      <c r="O16" s="10"/>
    </row>
    <row r="17" spans="1:15" ht="15.75">
      <c r="A17" s="60" t="str">
        <f>+'S&amp;D'!A23</f>
        <v>Atlas Air</v>
      </c>
      <c r="B17" s="60"/>
      <c r="C17" s="86" t="str">
        <f>+'S&amp;D'!B23</f>
        <v>AAWW</v>
      </c>
      <c r="D17" s="57">
        <f>'S&amp;D'!G23</f>
        <v>100.8</v>
      </c>
      <c r="E17" s="407">
        <v>14.45</v>
      </c>
      <c r="F17" s="68">
        <f t="shared" ref="F17:F19" si="2">D17/E17</f>
        <v>6.9757785467128031</v>
      </c>
      <c r="G17" s="54">
        <f t="shared" ref="G17:G19" si="3">1/F17</f>
        <v>0.14335317460317459</v>
      </c>
      <c r="H17" s="10"/>
      <c r="I17" s="32" t="str">
        <f t="shared" ref="I17:I19" si="4">+C17</f>
        <v>AAWW</v>
      </c>
      <c r="J17" s="57">
        <f t="shared" ref="J17:J19" si="5">+D17</f>
        <v>100.8</v>
      </c>
      <c r="K17" s="407">
        <v>13.8</v>
      </c>
      <c r="L17" s="68">
        <f t="shared" ref="L17:L19" si="6">J17/K17</f>
        <v>7.3043478260869561</v>
      </c>
      <c r="M17" s="54">
        <f t="shared" ref="M17:M19" si="7">1/L17</f>
        <v>0.13690476190476192</v>
      </c>
      <c r="N17" s="10"/>
      <c r="O17" s="10"/>
    </row>
    <row r="18" spans="1:15" ht="15.75">
      <c r="A18" s="60" t="str">
        <f>+'S&amp;D'!A24</f>
        <v xml:space="preserve">FedEx Corp </v>
      </c>
      <c r="B18" s="60"/>
      <c r="C18" s="86" t="str">
        <f>+'S&amp;D'!B24</f>
        <v>FDX</v>
      </c>
      <c r="D18" s="57">
        <f>'S&amp;D'!G24</f>
        <v>173.2</v>
      </c>
      <c r="E18" s="407">
        <v>20.61</v>
      </c>
      <c r="F18" s="68">
        <f t="shared" si="2"/>
        <v>8.4036875303250849</v>
      </c>
      <c r="G18" s="54">
        <f t="shared" si="3"/>
        <v>0.11899538106235566</v>
      </c>
      <c r="H18" s="10"/>
      <c r="I18" s="32" t="str">
        <f t="shared" si="4"/>
        <v>FDX</v>
      </c>
      <c r="J18" s="57">
        <f t="shared" si="5"/>
        <v>173.2</v>
      </c>
      <c r="K18" s="407">
        <v>14</v>
      </c>
      <c r="L18" s="68">
        <f t="shared" si="6"/>
        <v>12.37142857142857</v>
      </c>
      <c r="M18" s="54">
        <f t="shared" si="7"/>
        <v>8.0831408775981536E-2</v>
      </c>
      <c r="N18" s="10"/>
      <c r="O18" s="10"/>
    </row>
    <row r="19" spans="1:15" ht="15.75">
      <c r="A19" s="60" t="str">
        <f>+'S&amp;D'!A25</f>
        <v xml:space="preserve">United Parcel Service </v>
      </c>
      <c r="B19" s="60"/>
      <c r="C19" s="86" t="str">
        <f>+'S&amp;D'!B25</f>
        <v>UPS</v>
      </c>
      <c r="D19" s="57">
        <f>'S&amp;D'!G25</f>
        <v>173.84</v>
      </c>
      <c r="E19" s="407">
        <v>12.94</v>
      </c>
      <c r="F19" s="68">
        <f t="shared" si="2"/>
        <v>13.434312210200929</v>
      </c>
      <c r="G19" s="54">
        <f t="shared" si="3"/>
        <v>7.4436263230556826E-2</v>
      </c>
      <c r="H19" s="10"/>
      <c r="I19" s="32" t="str">
        <f t="shared" si="4"/>
        <v>UPS</v>
      </c>
      <c r="J19" s="57">
        <f t="shared" si="5"/>
        <v>173.84</v>
      </c>
      <c r="K19" s="407">
        <v>11.5</v>
      </c>
      <c r="L19" s="68">
        <f t="shared" si="6"/>
        <v>15.116521739130436</v>
      </c>
      <c r="M19" s="54">
        <f t="shared" si="7"/>
        <v>6.6152784169351123E-2</v>
      </c>
      <c r="N19" s="10"/>
      <c r="O19" s="10"/>
    </row>
    <row r="20" spans="1:15" ht="16.5" thickBot="1">
      <c r="A20" s="10"/>
      <c r="B20" s="10"/>
      <c r="C20" s="67"/>
      <c r="D20" s="67"/>
      <c r="E20" s="67"/>
      <c r="F20" s="67"/>
      <c r="G20" s="67"/>
      <c r="H20" s="10"/>
      <c r="I20" s="67"/>
      <c r="J20" s="62" t="s">
        <v>0</v>
      </c>
      <c r="K20" s="67"/>
      <c r="L20" s="67"/>
      <c r="M20" s="67"/>
      <c r="N20" s="10"/>
      <c r="O20" s="10"/>
    </row>
    <row r="21" spans="1:15" ht="15.75" thickTop="1">
      <c r="A21" s="10"/>
      <c r="B21" s="10"/>
      <c r="D21" s="12" t="s">
        <v>45</v>
      </c>
      <c r="E21" s="391">
        <v>20.61</v>
      </c>
      <c r="F21" s="391">
        <v>13.43</v>
      </c>
      <c r="G21" s="389">
        <v>0.1434</v>
      </c>
      <c r="H21" s="10"/>
      <c r="J21" s="12" t="s">
        <v>45</v>
      </c>
      <c r="K21" s="391">
        <v>14</v>
      </c>
      <c r="L21" s="391">
        <v>15.11</v>
      </c>
      <c r="M21" s="389">
        <v>0.13689999999999999</v>
      </c>
      <c r="N21" s="10"/>
      <c r="O21" s="10"/>
    </row>
    <row r="22" spans="1:15">
      <c r="A22" s="10"/>
      <c r="B22" s="10"/>
      <c r="D22" s="323" t="s">
        <v>46</v>
      </c>
      <c r="E22" s="392">
        <v>2.2999999999999998</v>
      </c>
      <c r="F22" s="392">
        <v>6.98</v>
      </c>
      <c r="G22" s="390">
        <v>7.4499999999999997E-2</v>
      </c>
      <c r="H22" s="10"/>
      <c r="J22" s="323" t="s">
        <v>46</v>
      </c>
      <c r="K22" s="392">
        <v>2.5</v>
      </c>
      <c r="L22" s="392">
        <v>7.3</v>
      </c>
      <c r="M22" s="390">
        <v>6.6199999999999995E-2</v>
      </c>
      <c r="N22" s="10"/>
      <c r="O22" s="10"/>
    </row>
    <row r="23" spans="1:15">
      <c r="A23" s="10"/>
      <c r="B23" s="10"/>
      <c r="D23" s="12" t="s">
        <v>18</v>
      </c>
      <c r="E23" s="68">
        <f>MEDIAN(E16:E19)</f>
        <v>13.695</v>
      </c>
      <c r="F23" s="19">
        <f>MEDIAN(F16:F19)</f>
        <v>9.8496698521190638</v>
      </c>
      <c r="G23" s="54">
        <f>MEDIAN(G16:G19)</f>
        <v>0.10376250962278676</v>
      </c>
      <c r="H23" s="10"/>
      <c r="J23" s="12" t="s">
        <v>18</v>
      </c>
      <c r="K23" s="68">
        <f>MEDIAN(K16:K19)</f>
        <v>12.65</v>
      </c>
      <c r="L23" s="19">
        <f>MEDIAN(L16:L19)</f>
        <v>11.381714285714285</v>
      </c>
      <c r="M23" s="54">
        <f>MEDIAN(M16:M19)</f>
        <v>8.8529638183217865E-2</v>
      </c>
      <c r="N23" s="10"/>
      <c r="O23" s="10"/>
    </row>
    <row r="24" spans="1:15">
      <c r="A24" s="10"/>
      <c r="B24" s="10"/>
      <c r="D24" s="12" t="s">
        <v>443</v>
      </c>
      <c r="E24" s="15">
        <f>AVERAGE(E16:E19)</f>
        <v>12.574999999999999</v>
      </c>
      <c r="F24" s="19">
        <f>AVERAGE(F16:F19)</f>
        <v>10.027357615287965</v>
      </c>
      <c r="G24" s="69">
        <f>AVERAGE(G16:G19)</f>
        <v>0.10632861426982623</v>
      </c>
      <c r="H24" s="10"/>
      <c r="J24" s="12" t="s">
        <v>443</v>
      </c>
      <c r="K24" s="15">
        <f>AVERAGE(K16:K19)</f>
        <v>10.45</v>
      </c>
      <c r="L24" s="19">
        <f>AVERAGE(L16:L19)</f>
        <v>11.296074534161491</v>
      </c>
      <c r="M24" s="69">
        <f>AVERAGE(M16:M19)</f>
        <v>9.5029205610137196E-2</v>
      </c>
      <c r="N24" s="10"/>
      <c r="O24" s="10"/>
    </row>
    <row r="25" spans="1:15">
      <c r="A25" s="10"/>
      <c r="B25" s="10"/>
      <c r="C25" s="10"/>
      <c r="D25" s="10"/>
      <c r="E25" s="10"/>
      <c r="F25" s="10"/>
      <c r="G25" s="10"/>
      <c r="H25" s="10"/>
      <c r="I25" s="10"/>
      <c r="J25" s="10"/>
      <c r="K25" s="10"/>
      <c r="L25" s="10"/>
      <c r="M25" s="10"/>
      <c r="N25" s="10"/>
      <c r="O25" s="10"/>
    </row>
    <row r="26" spans="1:15" ht="20.25">
      <c r="A26" s="10"/>
      <c r="B26" s="10"/>
      <c r="C26" s="10"/>
      <c r="D26" s="10"/>
      <c r="E26" s="73" t="s">
        <v>74</v>
      </c>
      <c r="F26" s="399">
        <v>10.029999999999999</v>
      </c>
      <c r="G26" s="397">
        <v>0.10630000000000001</v>
      </c>
      <c r="H26" s="10"/>
      <c r="I26" s="10"/>
      <c r="J26" s="10"/>
      <c r="K26" s="73" t="s">
        <v>74</v>
      </c>
      <c r="L26" s="400">
        <v>11.3</v>
      </c>
      <c r="M26" s="397">
        <v>9.5000000000000001E-2</v>
      </c>
      <c r="N26" s="10"/>
      <c r="O26" s="10"/>
    </row>
    <row r="27" spans="1:15">
      <c r="A27" s="10"/>
      <c r="B27" s="10"/>
      <c r="C27" s="10"/>
      <c r="D27" s="10"/>
      <c r="E27" s="10"/>
      <c r="F27" s="10"/>
      <c r="K27" s="10"/>
      <c r="L27" s="10"/>
      <c r="M27" s="10"/>
      <c r="N27" s="10"/>
      <c r="O27" s="10"/>
    </row>
    <row r="28" spans="1:15" ht="30" customHeight="1">
      <c r="A28" s="10"/>
      <c r="B28" s="10"/>
      <c r="C28" s="10"/>
      <c r="D28" s="10"/>
      <c r="E28" s="10"/>
      <c r="F28" s="10"/>
      <c r="K28" s="10"/>
      <c r="L28" s="10"/>
      <c r="M28" s="10"/>
      <c r="N28" s="10"/>
      <c r="O28" s="10"/>
    </row>
    <row r="29" spans="1:15" ht="15.75" thickBot="1">
      <c r="A29" s="10"/>
      <c r="B29" s="10"/>
      <c r="C29" s="10"/>
      <c r="D29" s="10"/>
      <c r="E29" s="10"/>
      <c r="F29" s="10"/>
      <c r="K29" s="10"/>
      <c r="L29" s="10"/>
      <c r="M29" s="10"/>
      <c r="N29" s="10"/>
      <c r="O29" s="10"/>
    </row>
    <row r="30" spans="1:15" ht="30.75" customHeight="1" thickBot="1">
      <c r="A30" s="71" t="s">
        <v>0</v>
      </c>
      <c r="B30" s="71"/>
      <c r="C30" s="10"/>
      <c r="D30" s="10"/>
      <c r="E30" s="10"/>
      <c r="G30" s="21" t="s">
        <v>126</v>
      </c>
      <c r="H30" s="10"/>
      <c r="I30" s="450">
        <f>(+F26+L26)/2</f>
        <v>10.664999999999999</v>
      </c>
      <c r="J30" s="451">
        <f>(+G26+M26)/2</f>
        <v>0.10065</v>
      </c>
      <c r="N30" s="10"/>
      <c r="O30" s="10"/>
    </row>
    <row r="31" spans="1:15" ht="16.5">
      <c r="A31" s="71" t="s">
        <v>0</v>
      </c>
      <c r="B31" s="71"/>
      <c r="C31" s="10"/>
      <c r="D31" s="10"/>
      <c r="E31" s="10"/>
      <c r="F31" s="10"/>
      <c r="G31" s="10"/>
      <c r="H31" s="10"/>
      <c r="I31" s="10"/>
      <c r="J31" s="10"/>
      <c r="K31" s="10"/>
      <c r="L31" s="10"/>
      <c r="M31" s="10"/>
      <c r="N31" s="10"/>
      <c r="O31" s="10"/>
    </row>
    <row r="32" spans="1:15">
      <c r="A32" s="10"/>
      <c r="B32" s="10"/>
      <c r="C32" s="10"/>
      <c r="D32" s="10"/>
      <c r="E32" s="10"/>
      <c r="F32" s="10"/>
      <c r="G32" s="10"/>
      <c r="H32" s="10"/>
      <c r="I32" s="10"/>
      <c r="J32" s="10"/>
      <c r="K32" s="10"/>
      <c r="L32" s="10"/>
      <c r="M32" s="10"/>
      <c r="N32" s="10"/>
      <c r="O32" s="10"/>
    </row>
    <row r="33" spans="1:15">
      <c r="A33" s="10"/>
      <c r="B33" s="10"/>
      <c r="C33" s="10"/>
      <c r="D33" s="10"/>
      <c r="E33" s="10"/>
      <c r="F33" s="10"/>
      <c r="G33" s="10"/>
      <c r="H33" s="10"/>
      <c r="I33" s="10"/>
      <c r="J33" s="10"/>
      <c r="K33" s="10"/>
      <c r="L33" s="10"/>
      <c r="M33" s="10"/>
      <c r="N33" s="10"/>
      <c r="O33" s="10"/>
    </row>
    <row r="34" spans="1:15" ht="15.75" thickBot="1">
      <c r="B34" s="153"/>
      <c r="C34" s="153"/>
      <c r="D34" s="153"/>
      <c r="E34" s="153"/>
      <c r="F34" s="153"/>
      <c r="G34" s="153"/>
    </row>
    <row r="35" spans="1:15" ht="20.25">
      <c r="C35" s="10"/>
      <c r="D35" s="10"/>
      <c r="E35" s="29" t="s">
        <v>245</v>
      </c>
      <c r="F35" s="10"/>
      <c r="G35" s="10"/>
    </row>
    <row r="36" spans="1:15" ht="18.75" thickBot="1">
      <c r="A36" s="28"/>
      <c r="B36" s="153"/>
      <c r="C36" s="26"/>
      <c r="D36" s="26"/>
      <c r="E36" s="34" t="s">
        <v>76</v>
      </c>
      <c r="F36" s="26"/>
      <c r="G36" s="26"/>
    </row>
    <row r="37" spans="1:15" ht="15.75" thickBot="1">
      <c r="A37" s="31" t="s">
        <v>0</v>
      </c>
      <c r="B37" s="153"/>
      <c r="C37" s="31" t="s">
        <v>0</v>
      </c>
      <c r="D37" s="31" t="s">
        <v>0</v>
      </c>
      <c r="E37" s="31" t="s">
        <v>0</v>
      </c>
      <c r="F37" s="31" t="s">
        <v>0</v>
      </c>
      <c r="G37" s="31" t="s">
        <v>0</v>
      </c>
    </row>
    <row r="38" spans="1:15">
      <c r="A38" s="32" t="s">
        <v>0</v>
      </c>
      <c r="C38" s="32" t="s">
        <v>3</v>
      </c>
      <c r="D38" s="32" t="s">
        <v>362</v>
      </c>
      <c r="E38" s="32" t="s">
        <v>364</v>
      </c>
      <c r="F38" s="32" t="s">
        <v>113</v>
      </c>
      <c r="G38" s="32" t="s">
        <v>26</v>
      </c>
    </row>
    <row r="39" spans="1:15" ht="15.75" thickBot="1">
      <c r="A39" s="34" t="s">
        <v>2</v>
      </c>
      <c r="B39" s="153"/>
      <c r="C39" s="34" t="s">
        <v>4</v>
      </c>
      <c r="D39" s="34" t="s">
        <v>27</v>
      </c>
      <c r="E39" s="34" t="s">
        <v>171</v>
      </c>
      <c r="F39" s="34" t="s">
        <v>28</v>
      </c>
      <c r="G39" s="34" t="s">
        <v>29</v>
      </c>
    </row>
    <row r="40" spans="1:15">
      <c r="A40" s="36" t="s">
        <v>0</v>
      </c>
      <c r="C40" s="36" t="s">
        <v>0</v>
      </c>
      <c r="D40" s="37" t="s">
        <v>115</v>
      </c>
      <c r="E40" s="72" t="s">
        <v>246</v>
      </c>
      <c r="F40" s="36" t="s">
        <v>0</v>
      </c>
      <c r="G40" s="36" t="s">
        <v>0</v>
      </c>
    </row>
    <row r="41" spans="1:15">
      <c r="A41" s="32"/>
      <c r="C41" s="32"/>
      <c r="D41" s="32"/>
      <c r="E41" s="32"/>
      <c r="F41" s="32"/>
      <c r="G41" s="32"/>
    </row>
    <row r="42" spans="1:15">
      <c r="A42" s="10"/>
      <c r="C42" s="10"/>
      <c r="D42" s="10"/>
      <c r="E42" s="10"/>
      <c r="F42" s="10"/>
      <c r="G42" s="10"/>
    </row>
    <row r="43" spans="1:15" ht="15.75">
      <c r="A43" s="60" t="str">
        <f>+'S&amp;D'!A22</f>
        <v>Air Transport Services Group</v>
      </c>
      <c r="C43" s="86" t="str">
        <f>+'S&amp;D'!B22</f>
        <v>ATSG</v>
      </c>
      <c r="D43" s="57">
        <f>'S&amp;D'!G22</f>
        <v>25.98</v>
      </c>
      <c r="E43" s="407">
        <v>2.85</v>
      </c>
      <c r="F43" s="68">
        <f t="shared" ref="F43:F46" si="8">D43/E43</f>
        <v>9.1157894736842096</v>
      </c>
      <c r="G43" s="54">
        <f t="shared" ref="G43:G46" si="9">1/F43</f>
        <v>0.10969976905311779</v>
      </c>
    </row>
    <row r="44" spans="1:15" ht="15.75">
      <c r="A44" s="60" t="str">
        <f>+'S&amp;D'!A23</f>
        <v>Atlas Air</v>
      </c>
      <c r="C44" s="86" t="str">
        <f>+'S&amp;D'!B23</f>
        <v>AAWW</v>
      </c>
      <c r="D44" s="57">
        <f>'S&amp;D'!G23</f>
        <v>100.8</v>
      </c>
      <c r="E44" s="407">
        <v>15.1</v>
      </c>
      <c r="F44" s="68">
        <f t="shared" si="8"/>
        <v>6.6754966887417222</v>
      </c>
      <c r="G44" s="54">
        <f t="shared" si="9"/>
        <v>0.1498015873015873</v>
      </c>
    </row>
    <row r="45" spans="1:15" ht="15.75">
      <c r="A45" s="60" t="str">
        <f>+'S&amp;D'!A24</f>
        <v xml:space="preserve">FedEx Corp </v>
      </c>
      <c r="C45" s="86" t="str">
        <f>+'S&amp;D'!B24</f>
        <v>FDX</v>
      </c>
      <c r="D45" s="57">
        <f>'S&amp;D'!G24</f>
        <v>173.2</v>
      </c>
      <c r="E45" s="407">
        <v>26.95</v>
      </c>
      <c r="F45" s="68">
        <f t="shared" si="8"/>
        <v>6.4267161410018554</v>
      </c>
      <c r="G45" s="54">
        <f t="shared" si="9"/>
        <v>0.15560046189376442</v>
      </c>
    </row>
    <row r="46" spans="1:15" ht="15.75">
      <c r="A46" s="60" t="str">
        <f>+'S&amp;D'!A25</f>
        <v xml:space="preserve">United Parcel Service </v>
      </c>
      <c r="C46" s="86" t="str">
        <f>+'S&amp;D'!B25</f>
        <v>UPS</v>
      </c>
      <c r="D46" s="57">
        <f>'S&amp;D'!G25</f>
        <v>173.84</v>
      </c>
      <c r="E46" s="407">
        <v>15.5</v>
      </c>
      <c r="F46" s="68">
        <f t="shared" si="8"/>
        <v>11.215483870967741</v>
      </c>
      <c r="G46" s="54">
        <f t="shared" si="9"/>
        <v>8.9162448228255878E-2</v>
      </c>
    </row>
    <row r="47" spans="1:15" ht="15.75" thickBot="1">
      <c r="A47" s="10"/>
      <c r="D47" s="67"/>
      <c r="E47" s="67"/>
      <c r="F47" s="67"/>
      <c r="G47" s="67"/>
    </row>
    <row r="48" spans="1:15" ht="15.75" thickTop="1">
      <c r="A48" s="10"/>
      <c r="D48" s="12" t="s">
        <v>45</v>
      </c>
      <c r="E48" s="391">
        <v>26.95</v>
      </c>
      <c r="F48" s="391">
        <v>11.21</v>
      </c>
      <c r="G48" s="389">
        <v>0.15559999999999999</v>
      </c>
    </row>
    <row r="49" spans="1:7">
      <c r="A49" s="10"/>
      <c r="D49" s="12" t="s">
        <v>46</v>
      </c>
      <c r="E49" s="392">
        <v>2.85</v>
      </c>
      <c r="F49" s="392">
        <v>6.43</v>
      </c>
      <c r="G49" s="390">
        <v>8.9200000000000002E-2</v>
      </c>
    </row>
    <row r="50" spans="1:7">
      <c r="A50" s="10"/>
      <c r="D50" s="12" t="s">
        <v>18</v>
      </c>
      <c r="E50" s="68">
        <f>MEDIAN(E43:E46)</f>
        <v>15.3</v>
      </c>
      <c r="F50" s="19">
        <f>MEDIAN(F43:F46)</f>
        <v>7.8956430812129659</v>
      </c>
      <c r="G50" s="54">
        <f>MEDIAN(G43:G46)</f>
        <v>0.12975067817735253</v>
      </c>
    </row>
    <row r="51" spans="1:7">
      <c r="A51" s="10"/>
      <c r="D51" s="12" t="s">
        <v>443</v>
      </c>
      <c r="E51" s="15">
        <f>AVERAGE(E43:E46)</f>
        <v>15.1</v>
      </c>
      <c r="F51" s="19">
        <f>AVERAGE(F43:F46)</f>
        <v>8.3583715435988815</v>
      </c>
      <c r="G51" s="69">
        <f>AVERAGE(G43:G46)</f>
        <v>0.12606606661918135</v>
      </c>
    </row>
    <row r="52" spans="1:7">
      <c r="A52" s="10"/>
      <c r="C52" s="10"/>
      <c r="D52" s="10"/>
      <c r="E52" s="10"/>
      <c r="F52" s="10"/>
      <c r="G52" s="10"/>
    </row>
    <row r="53" spans="1:7" ht="20.25">
      <c r="A53" s="10"/>
      <c r="C53" s="10"/>
      <c r="D53" s="10"/>
      <c r="E53" s="73" t="s">
        <v>74</v>
      </c>
      <c r="F53" s="400">
        <v>8.36</v>
      </c>
      <c r="G53" s="397">
        <v>0.12609999999999999</v>
      </c>
    </row>
  </sheetData>
  <pageMargins left="0.25" right="0.25"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53"/>
  <sheetViews>
    <sheetView view="pageBreakPreview" zoomScale="60" zoomScaleNormal="80" workbookViewId="0">
      <selection activeCell="G17" sqref="G17"/>
    </sheetView>
  </sheetViews>
  <sheetFormatPr defaultRowHeight="15"/>
  <cols>
    <col min="1" max="1" width="62.42578125" customWidth="1"/>
    <col min="2" max="2" width="25.7109375" customWidth="1"/>
    <col min="3" max="3" width="30.28515625" customWidth="1"/>
    <col min="4" max="5" width="30.5703125" customWidth="1"/>
    <col min="6" max="6" width="28.140625" customWidth="1"/>
    <col min="7" max="7" width="32.7109375" customWidth="1"/>
    <col min="8" max="8" width="37.7109375" customWidth="1"/>
    <col min="9" max="9" width="116.28515625" customWidth="1"/>
    <col min="10" max="10" width="13.85546875" customWidth="1"/>
    <col min="11" max="12" width="14.140625" bestFit="1" customWidth="1"/>
  </cols>
  <sheetData>
    <row r="1" spans="1:11" ht="20.25">
      <c r="A1" s="21" t="s">
        <v>1</v>
      </c>
      <c r="C1" s="21"/>
      <c r="D1" s="21"/>
      <c r="E1" s="10"/>
      <c r="F1" s="10"/>
      <c r="G1" s="10"/>
      <c r="H1" s="10"/>
      <c r="I1" s="10"/>
      <c r="J1" s="10"/>
      <c r="K1" s="10"/>
    </row>
    <row r="2" spans="1:11" ht="15.75">
      <c r="A2" s="22" t="s">
        <v>9</v>
      </c>
      <c r="C2" s="22"/>
      <c r="D2" s="22"/>
      <c r="E2" s="10"/>
      <c r="F2" s="10"/>
      <c r="G2" s="10"/>
      <c r="H2" s="10"/>
      <c r="I2" s="10"/>
      <c r="J2" s="10"/>
      <c r="K2" s="10"/>
    </row>
    <row r="3" spans="1:11">
      <c r="A3" s="23" t="s">
        <v>62</v>
      </c>
      <c r="C3" s="23"/>
      <c r="D3" s="23"/>
      <c r="E3" s="10"/>
      <c r="F3" s="10"/>
      <c r="G3" s="10"/>
      <c r="H3" s="10"/>
      <c r="I3" s="10"/>
      <c r="J3" s="10"/>
      <c r="K3" s="10"/>
    </row>
    <row r="4" spans="1:11">
      <c r="B4" s="23"/>
      <c r="C4" s="23"/>
      <c r="D4" s="23"/>
      <c r="E4" s="10"/>
      <c r="F4" s="10"/>
      <c r="G4" s="10"/>
      <c r="H4" s="10"/>
      <c r="I4" s="10"/>
      <c r="J4" s="10"/>
      <c r="K4" s="10"/>
    </row>
    <row r="5" spans="1:11">
      <c r="B5" s="10"/>
      <c r="C5" s="10"/>
      <c r="D5" s="10"/>
      <c r="E5" s="10"/>
      <c r="F5" s="10"/>
      <c r="G5" s="10"/>
      <c r="H5" s="10"/>
      <c r="I5" s="24" t="s">
        <v>0</v>
      </c>
      <c r="J5" s="24"/>
      <c r="K5" s="10"/>
    </row>
    <row r="6" spans="1:11" ht="15.75" thickBot="1">
      <c r="B6" s="10"/>
      <c r="C6" s="10"/>
      <c r="D6" s="26"/>
      <c r="E6" s="26"/>
      <c r="F6" s="153"/>
      <c r="H6" s="10"/>
      <c r="I6" s="10"/>
      <c r="J6" s="10"/>
      <c r="K6" s="10"/>
    </row>
    <row r="7" spans="1:11" ht="21" thickBot="1">
      <c r="A7" s="25" t="str">
        <f>+'S&amp;D'!A12</f>
        <v>Air Freight Carriers</v>
      </c>
      <c r="C7" s="28"/>
      <c r="D7" s="28"/>
      <c r="E7" s="29" t="s">
        <v>259</v>
      </c>
      <c r="H7" s="10"/>
      <c r="I7" s="10"/>
      <c r="J7" s="10"/>
      <c r="K7" s="10"/>
    </row>
    <row r="8" spans="1:11" ht="18.75" thickBot="1">
      <c r="B8" s="28"/>
      <c r="C8" s="28"/>
      <c r="D8" s="154"/>
      <c r="E8" s="34" t="s">
        <v>76</v>
      </c>
      <c r="F8" s="153"/>
      <c r="H8" s="10"/>
      <c r="I8" s="10"/>
      <c r="J8" s="10"/>
      <c r="K8" s="10"/>
    </row>
    <row r="9" spans="1:11" ht="18">
      <c r="B9" s="28"/>
      <c r="C9" s="28"/>
      <c r="D9" s="28"/>
      <c r="E9" s="32"/>
      <c r="H9" s="10"/>
      <c r="I9" s="10"/>
      <c r="J9" s="10"/>
      <c r="K9" s="10"/>
    </row>
    <row r="10" spans="1:11" ht="18.75" thickBot="1">
      <c r="A10" s="154"/>
      <c r="B10" s="28"/>
      <c r="I10" s="10"/>
      <c r="J10" s="10"/>
      <c r="K10" s="10"/>
    </row>
    <row r="11" spans="1:11" ht="22.5" customHeight="1" thickBot="1">
      <c r="A11" s="166" t="s">
        <v>253</v>
      </c>
      <c r="B11" s="28"/>
      <c r="I11" s="10"/>
      <c r="J11" s="10"/>
      <c r="K11" s="10"/>
    </row>
    <row r="12" spans="1:11" ht="26.25" customHeight="1" thickBot="1">
      <c r="A12" s="165" t="s">
        <v>0</v>
      </c>
      <c r="B12" s="10"/>
      <c r="C12" s="10"/>
      <c r="D12" s="10"/>
      <c r="E12" s="10"/>
      <c r="F12" s="10"/>
      <c r="G12" s="10"/>
      <c r="H12" s="10"/>
      <c r="I12" s="10"/>
      <c r="J12" s="10"/>
      <c r="K12" s="10"/>
    </row>
    <row r="13" spans="1:11" ht="66.75" customHeight="1" thickBot="1">
      <c r="A13" s="228" t="s">
        <v>278</v>
      </c>
      <c r="B13" s="160" t="s">
        <v>323</v>
      </c>
      <c r="C13" s="160" t="s">
        <v>288</v>
      </c>
      <c r="D13" s="160" t="s">
        <v>287</v>
      </c>
      <c r="I13" s="10"/>
      <c r="J13" s="10"/>
      <c r="K13" s="10"/>
    </row>
    <row r="14" spans="1:11">
      <c r="A14" s="155"/>
      <c r="B14" s="218"/>
      <c r="C14" s="218"/>
      <c r="D14" s="218"/>
      <c r="I14" s="10"/>
      <c r="J14" s="10"/>
      <c r="K14" s="10"/>
    </row>
    <row r="15" spans="1:11" ht="18">
      <c r="A15" s="164" t="str">
        <f>+A7</f>
        <v>Air Freight Carriers</v>
      </c>
      <c r="B15" s="403">
        <v>0</v>
      </c>
      <c r="C15" s="239">
        <f>+'Dividends '!K23</f>
        <v>6.7069797439744117E-2</v>
      </c>
      <c r="D15" s="239">
        <f>+Earnings!K22</f>
        <v>7.4629907954218921E-2</v>
      </c>
      <c r="I15" s="10"/>
      <c r="J15" s="10"/>
      <c r="K15" s="10"/>
    </row>
    <row r="16" spans="1:11" ht="18.75" thickBot="1">
      <c r="A16" s="157" t="s">
        <v>0</v>
      </c>
      <c r="B16" s="219" t="s">
        <v>0</v>
      </c>
      <c r="C16" s="264">
        <f>+'Dividends '!K24</f>
        <v>6.7069797439744117E-2</v>
      </c>
      <c r="D16" s="264">
        <f>+Earnings!K23</f>
        <v>0.10592357499032629</v>
      </c>
      <c r="I16" s="10"/>
      <c r="J16" s="10"/>
      <c r="K16" s="10"/>
    </row>
    <row r="17" spans="1:11" ht="18">
      <c r="A17" s="226"/>
      <c r="B17" s="227"/>
      <c r="I17" s="10"/>
      <c r="J17" s="10"/>
      <c r="K17" s="10"/>
    </row>
    <row r="18" spans="1:11">
      <c r="A18" s="10"/>
      <c r="B18" s="10"/>
      <c r="C18" s="10"/>
      <c r="D18" s="10"/>
      <c r="E18" s="10"/>
      <c r="F18" s="10"/>
      <c r="G18" s="10"/>
      <c r="H18" s="10"/>
      <c r="I18" s="10"/>
      <c r="J18" s="10"/>
      <c r="K18" s="10"/>
    </row>
    <row r="19" spans="1:11" ht="15.75" thickBot="1">
      <c r="A19" s="10"/>
      <c r="B19" s="10"/>
      <c r="C19" s="10"/>
      <c r="D19" s="10"/>
      <c r="E19" s="10"/>
      <c r="F19" s="10"/>
      <c r="G19" s="10"/>
      <c r="H19" s="10"/>
      <c r="I19" s="10"/>
      <c r="J19" s="10"/>
      <c r="K19" s="10"/>
    </row>
    <row r="20" spans="1:11" ht="18.75" thickBot="1">
      <c r="A20" s="166" t="s">
        <v>277</v>
      </c>
      <c r="B20" s="28"/>
      <c r="I20" s="10"/>
      <c r="J20" s="10"/>
      <c r="K20" s="10"/>
    </row>
    <row r="21" spans="1:11" ht="16.5" thickBot="1">
      <c r="A21" s="165" t="s">
        <v>0</v>
      </c>
      <c r="B21" s="10"/>
      <c r="C21" s="10"/>
      <c r="D21" s="10"/>
      <c r="E21" s="10"/>
      <c r="F21" s="10"/>
      <c r="G21" s="10"/>
      <c r="H21" s="10"/>
      <c r="I21" s="10"/>
      <c r="J21" s="10"/>
      <c r="K21" s="10"/>
    </row>
    <row r="22" spans="1:11" ht="64.5" customHeight="1" thickBot="1">
      <c r="A22" s="228" t="s">
        <v>279</v>
      </c>
      <c r="B22" s="160" t="s">
        <v>322</v>
      </c>
      <c r="C22" s="159" t="s">
        <v>232</v>
      </c>
      <c r="D22" s="160" t="s">
        <v>233</v>
      </c>
      <c r="E22" s="160" t="s">
        <v>234</v>
      </c>
      <c r="F22" s="160" t="s">
        <v>323</v>
      </c>
      <c r="G22" s="265" t="s">
        <v>18</v>
      </c>
      <c r="H22" s="265" t="s">
        <v>19</v>
      </c>
      <c r="I22" s="10"/>
      <c r="J22" s="10"/>
      <c r="K22" s="10"/>
    </row>
    <row r="23" spans="1:11">
      <c r="A23" s="155"/>
      <c r="B23" s="218"/>
      <c r="C23" s="108"/>
      <c r="D23" s="218"/>
      <c r="E23" s="108"/>
      <c r="F23" s="218"/>
      <c r="G23" s="341"/>
      <c r="H23" s="168"/>
      <c r="I23" s="10"/>
      <c r="J23" s="10"/>
      <c r="K23" s="10"/>
    </row>
    <row r="24" spans="1:11" ht="18">
      <c r="A24" s="164" t="str">
        <f>+A7</f>
        <v>Air Freight Carriers</v>
      </c>
      <c r="B24" s="403">
        <v>0</v>
      </c>
      <c r="C24" s="404">
        <v>0</v>
      </c>
      <c r="D24" s="403">
        <v>0</v>
      </c>
      <c r="E24" s="404">
        <v>0</v>
      </c>
      <c r="F24" s="403">
        <v>0</v>
      </c>
      <c r="G24" s="402">
        <f>MEDIAN(B24:F24)</f>
        <v>0</v>
      </c>
      <c r="H24" s="402">
        <f t="shared" ref="H24" si="0">AVERAGE(B24:F24)</f>
        <v>0</v>
      </c>
      <c r="I24" s="10"/>
      <c r="J24" s="10"/>
      <c r="K24" s="10"/>
    </row>
    <row r="25" spans="1:11" ht="18.75" thickBot="1">
      <c r="A25" s="326" t="s">
        <v>0</v>
      </c>
      <c r="B25" s="219" t="s">
        <v>0</v>
      </c>
      <c r="C25" s="340" t="s">
        <v>0</v>
      </c>
      <c r="D25" s="219" t="s">
        <v>0</v>
      </c>
      <c r="E25" s="340" t="s">
        <v>0</v>
      </c>
      <c r="F25" s="219" t="s">
        <v>0</v>
      </c>
      <c r="G25" s="314"/>
      <c r="H25" s="167"/>
      <c r="I25" s="10"/>
      <c r="J25" s="10"/>
      <c r="K25" s="10"/>
    </row>
    <row r="26" spans="1:11">
      <c r="A26" s="10"/>
      <c r="B26" s="10"/>
      <c r="C26" s="10"/>
      <c r="D26" s="10"/>
      <c r="E26" s="10"/>
      <c r="F26" s="10"/>
      <c r="G26" s="10"/>
      <c r="H26" s="10"/>
      <c r="I26" s="10"/>
      <c r="J26" s="10"/>
      <c r="K26" s="10"/>
    </row>
    <row r="27" spans="1:11">
      <c r="A27" s="10"/>
      <c r="B27" s="10"/>
      <c r="C27" s="10"/>
      <c r="D27" s="10"/>
      <c r="E27" s="10"/>
      <c r="F27" s="10"/>
      <c r="G27" s="10"/>
      <c r="H27" s="10"/>
      <c r="I27" s="10"/>
      <c r="J27" s="10"/>
      <c r="K27" s="10"/>
    </row>
    <row r="28" spans="1:11">
      <c r="A28" s="10"/>
      <c r="B28" s="10" t="s">
        <v>0</v>
      </c>
      <c r="C28" s="10"/>
      <c r="D28" s="10"/>
      <c r="E28" s="10"/>
      <c r="F28" s="10"/>
      <c r="G28" s="10"/>
      <c r="H28" s="10"/>
      <c r="I28" s="10"/>
      <c r="J28" s="10"/>
      <c r="K28" s="10"/>
    </row>
    <row r="29" spans="1:11" ht="15.75" thickBot="1">
      <c r="A29" s="10"/>
      <c r="B29" s="10"/>
      <c r="C29" s="10"/>
      <c r="D29" s="10"/>
      <c r="E29" s="10"/>
      <c r="F29" s="10"/>
      <c r="G29" s="10"/>
      <c r="H29" s="10"/>
      <c r="I29" s="10"/>
      <c r="J29" s="10"/>
      <c r="K29" s="10"/>
    </row>
    <row r="30" spans="1:11" ht="18.75" thickBot="1">
      <c r="A30" s="166" t="s">
        <v>255</v>
      </c>
      <c r="B30" s="10"/>
      <c r="C30" s="10"/>
      <c r="D30" s="10"/>
      <c r="E30" s="10"/>
      <c r="F30" s="10"/>
      <c r="G30" s="10"/>
      <c r="H30" s="10"/>
      <c r="I30" s="10"/>
      <c r="J30" s="10"/>
      <c r="K30" s="10"/>
    </row>
    <row r="31" spans="1:11">
      <c r="A31" s="10"/>
      <c r="B31" s="10"/>
      <c r="C31" s="10"/>
      <c r="D31" s="10"/>
      <c r="E31" s="10"/>
      <c r="F31" s="10"/>
      <c r="G31" s="10"/>
      <c r="H31" s="10"/>
      <c r="I31" s="10"/>
      <c r="J31" s="10"/>
      <c r="K31" s="10"/>
    </row>
    <row r="32" spans="1:11">
      <c r="A32" s="10"/>
      <c r="B32" s="10"/>
      <c r="C32" s="10"/>
      <c r="D32" s="10"/>
      <c r="E32" s="10"/>
      <c r="F32" s="10"/>
      <c r="G32" s="10"/>
      <c r="H32" s="10"/>
      <c r="I32" s="10"/>
      <c r="J32" s="10"/>
      <c r="K32" s="10"/>
    </row>
    <row r="33" spans="1:11" ht="23.25">
      <c r="A33" s="342">
        <v>1.66E-2</v>
      </c>
      <c r="B33" s="28" t="s">
        <v>485</v>
      </c>
      <c r="C33" s="10"/>
      <c r="E33" s="207" t="s">
        <v>0</v>
      </c>
      <c r="F33" s="10"/>
      <c r="G33" s="10"/>
      <c r="H33" s="10"/>
      <c r="I33" s="10"/>
      <c r="J33" s="10"/>
      <c r="K33" s="10"/>
    </row>
    <row r="34" spans="1:11" ht="23.25">
      <c r="A34" s="221"/>
      <c r="B34" s="10" t="s">
        <v>303</v>
      </c>
      <c r="C34" s="10"/>
      <c r="D34" s="10"/>
      <c r="E34" s="10"/>
      <c r="F34" s="10"/>
      <c r="G34" s="10"/>
      <c r="H34" s="10"/>
      <c r="I34" s="10"/>
      <c r="J34" s="10"/>
      <c r="K34" s="10"/>
    </row>
    <row r="35" spans="1:11" ht="23.25">
      <c r="A35" s="221"/>
      <c r="B35" s="151" t="s">
        <v>302</v>
      </c>
      <c r="C35" s="10"/>
      <c r="D35" s="10"/>
      <c r="E35" s="10"/>
      <c r="F35" s="10"/>
      <c r="G35" s="10"/>
      <c r="H35" s="10"/>
      <c r="I35" s="10"/>
      <c r="J35" s="10"/>
      <c r="K35" s="10"/>
    </row>
    <row r="36" spans="1:11" ht="23.25">
      <c r="A36" s="342">
        <v>1.7999999999999999E-2</v>
      </c>
      <c r="B36" s="28" t="s">
        <v>256</v>
      </c>
      <c r="C36" s="10"/>
      <c r="D36" s="10"/>
      <c r="E36" s="10"/>
      <c r="F36" s="10"/>
      <c r="G36" s="10"/>
      <c r="H36" s="10"/>
      <c r="I36" s="10"/>
      <c r="J36" s="10"/>
      <c r="K36" s="10"/>
    </row>
    <row r="37" spans="1:11" ht="23.25">
      <c r="A37" s="220"/>
      <c r="B37" s="222" t="s">
        <v>486</v>
      </c>
      <c r="C37" s="10"/>
      <c r="D37" s="10"/>
      <c r="E37" s="10"/>
      <c r="F37" s="10"/>
      <c r="G37" s="10"/>
      <c r="H37" s="10"/>
      <c r="I37" s="10"/>
      <c r="J37" s="10"/>
      <c r="K37" s="10"/>
    </row>
    <row r="38" spans="1:11" ht="23.25">
      <c r="A38" s="220"/>
      <c r="B38" s="151" t="s">
        <v>487</v>
      </c>
      <c r="C38" s="10"/>
      <c r="D38" s="10"/>
      <c r="E38" s="10"/>
      <c r="F38" s="10"/>
      <c r="G38" s="10"/>
      <c r="H38" s="10"/>
      <c r="I38" s="10"/>
      <c r="J38" s="10"/>
      <c r="K38" s="10"/>
    </row>
    <row r="39" spans="1:11" ht="23.25">
      <c r="A39" s="342" t="s">
        <v>411</v>
      </c>
      <c r="B39" s="28" t="s">
        <v>257</v>
      </c>
      <c r="C39" s="10"/>
      <c r="D39" s="10"/>
      <c r="E39" s="10"/>
      <c r="F39" s="10"/>
      <c r="G39" s="10"/>
      <c r="H39" s="10"/>
      <c r="I39" s="10"/>
      <c r="J39" s="10"/>
      <c r="K39" s="10"/>
    </row>
    <row r="40" spans="1:11" ht="23.25">
      <c r="A40" s="220"/>
      <c r="B40" s="10" t="s">
        <v>488</v>
      </c>
      <c r="C40" s="10"/>
      <c r="D40" s="10"/>
      <c r="E40" s="10"/>
      <c r="F40" s="10"/>
      <c r="G40" s="10"/>
      <c r="H40" s="10"/>
      <c r="I40" s="10"/>
      <c r="J40" s="10"/>
      <c r="K40" s="10"/>
    </row>
    <row r="41" spans="1:11" ht="23.25">
      <c r="A41" s="220"/>
      <c r="B41" s="151" t="s">
        <v>321</v>
      </c>
      <c r="C41" s="10"/>
      <c r="D41" s="10"/>
      <c r="E41" s="10"/>
      <c r="F41" s="10"/>
      <c r="G41" s="10"/>
      <c r="H41" s="10"/>
      <c r="I41" s="10"/>
      <c r="J41" s="10"/>
      <c r="K41" s="10"/>
    </row>
    <row r="42" spans="1:11" ht="23.25">
      <c r="A42" s="456">
        <v>1.9E-2</v>
      </c>
      <c r="B42" s="28" t="s">
        <v>489</v>
      </c>
      <c r="C42" s="10"/>
      <c r="D42" s="10"/>
      <c r="E42" s="10"/>
      <c r="F42" s="10"/>
      <c r="G42" s="10"/>
      <c r="H42" s="10"/>
      <c r="I42" s="10"/>
      <c r="J42" s="10"/>
      <c r="K42" s="10"/>
    </row>
    <row r="43" spans="1:11" ht="23.25">
      <c r="A43" s="220"/>
      <c r="B43" s="10" t="s">
        <v>490</v>
      </c>
      <c r="C43" s="10"/>
      <c r="D43" s="10"/>
      <c r="E43" s="10"/>
      <c r="F43" s="10"/>
      <c r="G43" s="10"/>
      <c r="H43" s="10"/>
      <c r="I43" s="10"/>
      <c r="J43" s="10"/>
      <c r="K43" s="10"/>
    </row>
    <row r="44" spans="1:11" ht="23.25">
      <c r="A44" s="220"/>
      <c r="B44" s="151" t="s">
        <v>320</v>
      </c>
      <c r="C44" s="10"/>
      <c r="D44" s="10"/>
      <c r="E44" s="10"/>
      <c r="F44" s="10"/>
      <c r="G44" s="10"/>
      <c r="H44" s="10"/>
      <c r="I44" s="10"/>
      <c r="J44" s="10"/>
      <c r="K44" s="10"/>
    </row>
    <row r="45" spans="1:11" ht="23.25">
      <c r="A45" s="342">
        <v>1.4999999999999999E-2</v>
      </c>
      <c r="B45" s="28" t="s">
        <v>258</v>
      </c>
      <c r="C45" s="10"/>
      <c r="D45" s="10"/>
      <c r="E45" s="10"/>
      <c r="F45" s="10"/>
      <c r="G45" s="10"/>
      <c r="H45" s="10"/>
      <c r="I45" s="10"/>
      <c r="J45" s="10"/>
      <c r="K45" s="10"/>
    </row>
    <row r="46" spans="1:11" ht="23.25">
      <c r="A46" s="220"/>
      <c r="B46" s="10" t="s">
        <v>491</v>
      </c>
      <c r="C46" s="10"/>
      <c r="D46" s="10"/>
      <c r="E46" s="10"/>
      <c r="F46" s="10"/>
      <c r="G46" s="10"/>
      <c r="H46" s="10"/>
      <c r="I46" s="10"/>
      <c r="J46" s="10"/>
      <c r="K46" s="10"/>
    </row>
    <row r="47" spans="1:11" ht="23.25">
      <c r="A47" s="220"/>
      <c r="B47" s="151" t="s">
        <v>492</v>
      </c>
      <c r="C47" s="10"/>
      <c r="D47" s="10"/>
      <c r="E47" s="10"/>
      <c r="F47" s="10"/>
      <c r="G47" s="10"/>
      <c r="H47" s="10"/>
      <c r="I47" s="10"/>
      <c r="J47" s="10"/>
      <c r="K47" s="10"/>
    </row>
    <row r="48" spans="1:11" ht="23.25">
      <c r="A48" s="220" t="s">
        <v>0</v>
      </c>
      <c r="C48" s="10"/>
      <c r="D48" s="10"/>
      <c r="E48" s="10"/>
      <c r="F48" s="10"/>
      <c r="G48" s="10"/>
      <c r="H48" s="10"/>
      <c r="I48" s="10"/>
      <c r="J48" s="10"/>
      <c r="K48" s="10"/>
    </row>
    <row r="49" spans="1:11" ht="18">
      <c r="A49" s="457" t="s">
        <v>272</v>
      </c>
      <c r="C49" s="10"/>
      <c r="D49" s="10"/>
      <c r="E49" s="10"/>
      <c r="F49" s="10"/>
      <c r="G49" s="10"/>
      <c r="H49" s="10"/>
      <c r="I49" s="10"/>
      <c r="J49" s="10"/>
      <c r="K49" s="10"/>
    </row>
    <row r="50" spans="1:11" ht="18">
      <c r="A50" s="28" t="s">
        <v>273</v>
      </c>
      <c r="B50" s="10"/>
      <c r="C50" s="10"/>
      <c r="D50" s="10"/>
      <c r="E50" s="10"/>
      <c r="H50" s="10"/>
      <c r="I50" s="10"/>
      <c r="J50" s="10"/>
      <c r="K50" s="10"/>
    </row>
    <row r="51" spans="1:11">
      <c r="A51" s="151" t="s">
        <v>274</v>
      </c>
      <c r="B51" s="10"/>
      <c r="C51" s="10"/>
      <c r="D51" s="10"/>
      <c r="E51" s="10"/>
      <c r="F51" s="10"/>
      <c r="G51" s="10"/>
      <c r="H51" s="10"/>
      <c r="I51" s="10"/>
      <c r="J51" s="10"/>
      <c r="K51" s="10"/>
    </row>
    <row r="52" spans="1:11">
      <c r="A52" s="151"/>
      <c r="B52" s="10"/>
      <c r="C52" s="10"/>
      <c r="D52" s="10"/>
      <c r="E52" s="10"/>
      <c r="F52" s="10"/>
      <c r="G52" s="10" t="s">
        <v>0</v>
      </c>
      <c r="H52" s="10" t="s">
        <v>0</v>
      </c>
      <c r="I52" s="10"/>
      <c r="J52" s="10"/>
      <c r="K52" s="10"/>
    </row>
    <row r="53" spans="1:11">
      <c r="A53" s="10"/>
      <c r="B53" s="10"/>
      <c r="C53" s="10"/>
      <c r="D53" s="10"/>
      <c r="E53" s="10"/>
      <c r="F53" s="10"/>
      <c r="G53" s="10" t="s">
        <v>0</v>
      </c>
      <c r="H53" s="10"/>
      <c r="I53" s="10"/>
      <c r="J53" s="10"/>
      <c r="K53" s="10"/>
    </row>
    <row r="54" spans="1:11" ht="15.75" thickBot="1">
      <c r="A54" s="10"/>
      <c r="B54" s="10"/>
      <c r="C54" s="10"/>
      <c r="D54" s="10"/>
      <c r="E54" s="10"/>
      <c r="F54" s="10"/>
      <c r="G54" s="10" t="s">
        <v>0</v>
      </c>
      <c r="H54" s="10"/>
      <c r="I54" s="10"/>
      <c r="J54" s="10"/>
      <c r="K54" s="10"/>
    </row>
    <row r="55" spans="1:11" ht="18.75" thickBot="1">
      <c r="A55" s="166" t="s">
        <v>254</v>
      </c>
      <c r="B55" s="41" t="s">
        <v>396</v>
      </c>
      <c r="C55" s="10"/>
      <c r="D55" s="10"/>
      <c r="E55" s="10"/>
      <c r="F55" s="10"/>
      <c r="G55" s="10"/>
      <c r="H55" s="10"/>
      <c r="I55" s="10"/>
      <c r="J55" s="10"/>
      <c r="K55" s="10"/>
    </row>
    <row r="56" spans="1:11">
      <c r="A56" s="10"/>
      <c r="B56" s="10"/>
      <c r="C56" s="10"/>
      <c r="D56" s="10"/>
      <c r="E56" s="10"/>
      <c r="F56" s="10"/>
      <c r="G56" s="347" t="s">
        <v>403</v>
      </c>
      <c r="H56" s="348" t="s">
        <v>410</v>
      </c>
      <c r="I56" s="10"/>
      <c r="J56" s="10"/>
      <c r="K56" s="10"/>
    </row>
    <row r="57" spans="1:11" ht="23.25">
      <c r="A57" s="342">
        <v>2.3E-2</v>
      </c>
      <c r="B57" s="28" t="s">
        <v>397</v>
      </c>
      <c r="C57" s="10"/>
      <c r="E57" s="10"/>
      <c r="G57" s="349" t="s">
        <v>404</v>
      </c>
      <c r="H57" s="350" t="s">
        <v>409</v>
      </c>
      <c r="I57" s="10"/>
      <c r="J57" s="10"/>
      <c r="K57" s="10"/>
    </row>
    <row r="58" spans="1:11" ht="23.25">
      <c r="A58" s="342">
        <v>2.53E-2</v>
      </c>
      <c r="B58" s="28" t="s">
        <v>398</v>
      </c>
      <c r="C58" s="10"/>
      <c r="E58" s="10"/>
      <c r="G58" s="349" t="s">
        <v>405</v>
      </c>
      <c r="H58" s="350" t="s">
        <v>408</v>
      </c>
      <c r="I58" s="10"/>
      <c r="J58" s="10"/>
      <c r="K58" s="10"/>
    </row>
    <row r="59" spans="1:11" ht="23.25">
      <c r="A59" s="342">
        <v>2.3099999999999999E-2</v>
      </c>
      <c r="B59" s="28" t="s">
        <v>399</v>
      </c>
      <c r="C59" s="10"/>
      <c r="D59" s="10"/>
      <c r="E59" s="10"/>
      <c r="G59" s="351" t="s">
        <v>406</v>
      </c>
      <c r="H59" s="352" t="s">
        <v>407</v>
      </c>
      <c r="I59" s="10"/>
      <c r="J59" s="10"/>
      <c r="K59" s="10"/>
    </row>
    <row r="60" spans="1:11" ht="15" customHeight="1">
      <c r="A60" s="342"/>
      <c r="B60" s="28"/>
      <c r="C60" s="10"/>
      <c r="D60" s="10"/>
      <c r="E60" s="10"/>
      <c r="G60" s="12"/>
      <c r="H60" s="458"/>
      <c r="I60" s="10"/>
      <c r="J60" s="10"/>
      <c r="K60" s="10"/>
    </row>
    <row r="61" spans="1:11" ht="18.75">
      <c r="A61" s="346" t="s">
        <v>493</v>
      </c>
      <c r="B61" s="28"/>
      <c r="C61" s="10"/>
      <c r="D61" s="10"/>
      <c r="E61" s="10"/>
      <c r="F61" s="327"/>
      <c r="G61" s="82"/>
      <c r="H61" s="10"/>
      <c r="I61" s="10"/>
      <c r="J61" s="10"/>
      <c r="K61" s="10"/>
    </row>
    <row r="62" spans="1:11" ht="23.25">
      <c r="A62" s="342"/>
      <c r="B62" s="28"/>
      <c r="C62" s="10"/>
      <c r="D62" s="10"/>
      <c r="E62" s="10"/>
      <c r="F62" s="327"/>
      <c r="G62" s="82"/>
      <c r="H62" s="10"/>
      <c r="I62" s="10"/>
      <c r="J62" s="10"/>
      <c r="K62" s="10"/>
    </row>
    <row r="63" spans="1:11" ht="23.25">
      <c r="A63" s="342">
        <v>2.5499999999999998E-2</v>
      </c>
      <c r="B63" s="28" t="s">
        <v>264</v>
      </c>
      <c r="C63" s="10"/>
      <c r="D63" s="10"/>
      <c r="E63" s="10"/>
      <c r="F63" s="10"/>
      <c r="G63" s="10"/>
      <c r="H63" s="10"/>
      <c r="I63" s="10"/>
      <c r="J63" s="10"/>
      <c r="K63" s="10"/>
    </row>
    <row r="64" spans="1:11" ht="23.25">
      <c r="A64" s="342">
        <v>2.5000000000000001E-2</v>
      </c>
      <c r="B64" s="28" t="s">
        <v>265</v>
      </c>
      <c r="C64" s="10"/>
      <c r="D64" s="10"/>
      <c r="E64" s="10"/>
      <c r="F64" s="10"/>
      <c r="G64" s="10"/>
      <c r="H64" s="10"/>
      <c r="I64" s="10"/>
      <c r="J64" s="10"/>
      <c r="K64" s="10"/>
    </row>
    <row r="65" spans="1:11" ht="23.25">
      <c r="A65" s="342">
        <v>2.4400000000000002E-2</v>
      </c>
      <c r="B65" s="28" t="s">
        <v>266</v>
      </c>
      <c r="C65" s="10"/>
      <c r="D65" s="10"/>
      <c r="E65" s="10"/>
      <c r="F65" s="10"/>
      <c r="G65" s="10"/>
      <c r="H65" s="10"/>
      <c r="I65" s="10"/>
      <c r="J65" s="10"/>
      <c r="K65" s="10"/>
    </row>
    <row r="66" spans="1:11" ht="23.25">
      <c r="A66" s="342">
        <v>2.3E-2</v>
      </c>
      <c r="B66" s="28" t="s">
        <v>494</v>
      </c>
      <c r="C66" s="10"/>
      <c r="D66" s="10"/>
      <c r="E66" s="10"/>
      <c r="F66" s="10"/>
      <c r="G66" s="10"/>
      <c r="H66" s="10"/>
      <c r="I66" s="10"/>
      <c r="J66" s="10"/>
      <c r="K66" s="10"/>
    </row>
    <row r="67" spans="1:11" ht="27" customHeight="1">
      <c r="A67" s="342">
        <v>0.02</v>
      </c>
      <c r="B67" s="28" t="s">
        <v>261</v>
      </c>
      <c r="C67" s="10"/>
      <c r="D67" s="10"/>
      <c r="E67" s="10"/>
      <c r="F67" s="10"/>
      <c r="G67" s="10"/>
      <c r="H67" s="10"/>
      <c r="I67" s="10"/>
      <c r="J67" s="10"/>
      <c r="K67" s="10"/>
    </row>
    <row r="68" spans="1:11">
      <c r="B68" s="10" t="s">
        <v>0</v>
      </c>
      <c r="C68" s="10"/>
      <c r="D68" s="10"/>
      <c r="E68" s="10"/>
      <c r="F68" s="10"/>
      <c r="G68" s="10"/>
      <c r="H68" s="10"/>
      <c r="I68" s="10"/>
      <c r="J68" s="10"/>
      <c r="K68" s="10"/>
    </row>
    <row r="69" spans="1:11">
      <c r="A69" s="10"/>
      <c r="B69" s="10"/>
      <c r="C69" s="10"/>
      <c r="D69" s="10"/>
      <c r="E69" s="10"/>
      <c r="F69" s="10"/>
      <c r="G69" s="10"/>
      <c r="H69" s="10"/>
      <c r="I69" s="10"/>
      <c r="J69" s="10"/>
      <c r="K69" s="10"/>
    </row>
    <row r="70" spans="1:11" ht="15.75" thickBot="1">
      <c r="B70" s="10"/>
      <c r="C70" s="10"/>
      <c r="D70" s="26"/>
      <c r="E70" s="26"/>
      <c r="F70" s="26"/>
      <c r="G70" s="10"/>
      <c r="H70" s="10"/>
      <c r="I70" s="10"/>
      <c r="J70" s="10"/>
      <c r="K70" s="10"/>
    </row>
    <row r="71" spans="1:11" ht="20.25">
      <c r="B71" s="28"/>
      <c r="C71" s="28"/>
      <c r="D71" s="10"/>
      <c r="E71" s="29" t="s">
        <v>215</v>
      </c>
      <c r="F71" s="10"/>
      <c r="G71" s="10"/>
      <c r="H71" s="10"/>
      <c r="I71" s="10"/>
      <c r="J71" s="10"/>
      <c r="K71" s="10"/>
    </row>
    <row r="72" spans="1:11" ht="18.75" thickBot="1">
      <c r="A72" s="153"/>
      <c r="B72" s="28"/>
      <c r="C72" s="28"/>
      <c r="D72" s="26"/>
      <c r="E72" s="34" t="s">
        <v>76</v>
      </c>
      <c r="F72" s="26"/>
      <c r="G72" s="10"/>
      <c r="H72" s="10"/>
      <c r="I72" s="10"/>
      <c r="J72" s="10"/>
      <c r="K72" s="10"/>
    </row>
    <row r="73" spans="1:11" ht="18.75" thickBot="1">
      <c r="A73" s="152" t="s">
        <v>216</v>
      </c>
      <c r="B73" s="28"/>
      <c r="C73" s="28"/>
      <c r="D73" s="32"/>
      <c r="E73" s="150"/>
      <c r="F73" s="10"/>
      <c r="G73" s="10"/>
      <c r="H73" s="10"/>
      <c r="I73" s="10"/>
    </row>
    <row r="74" spans="1:11">
      <c r="A74" s="36" t="s">
        <v>0</v>
      </c>
      <c r="B74" s="36"/>
      <c r="C74" s="36"/>
      <c r="D74" s="38" t="s">
        <v>0</v>
      </c>
      <c r="E74" s="38" t="s">
        <v>0</v>
      </c>
      <c r="F74" s="38" t="s">
        <v>0</v>
      </c>
      <c r="G74" s="38"/>
      <c r="H74" s="10"/>
      <c r="I74" s="10"/>
    </row>
    <row r="75" spans="1:11">
      <c r="A75" s="32" t="s">
        <v>0</v>
      </c>
      <c r="B75" s="32"/>
      <c r="C75" s="32"/>
      <c r="D75" s="187" t="s">
        <v>80</v>
      </c>
      <c r="E75" s="187" t="s">
        <v>260</v>
      </c>
      <c r="F75" s="187" t="s">
        <v>129</v>
      </c>
      <c r="G75" s="261"/>
      <c r="H75" s="10"/>
      <c r="I75" s="10"/>
    </row>
    <row r="76" spans="1:11">
      <c r="A76" s="126" t="s">
        <v>127</v>
      </c>
      <c r="B76" s="126"/>
      <c r="C76" s="126"/>
      <c r="D76" s="188" t="s">
        <v>82</v>
      </c>
      <c r="E76" s="188" t="s">
        <v>128</v>
      </c>
      <c r="F76" s="188" t="s">
        <v>130</v>
      </c>
      <c r="G76" s="261"/>
      <c r="H76" s="10"/>
      <c r="I76" s="10"/>
    </row>
    <row r="79" spans="1:11" ht="15.75">
      <c r="A79" s="169" t="s">
        <v>267</v>
      </c>
      <c r="B79" s="170"/>
      <c r="C79" s="215"/>
      <c r="D79" s="178">
        <f>+A57</f>
        <v>2.3E-2</v>
      </c>
      <c r="E79" s="178">
        <v>1.5800000000000002E-2</v>
      </c>
      <c r="F79" s="171">
        <f t="shared" ref="F79:F86" si="1">+D79+E79</f>
        <v>3.8800000000000001E-2</v>
      </c>
      <c r="G79" s="262"/>
      <c r="H79" s="10"/>
      <c r="I79" s="10"/>
    </row>
    <row r="80" spans="1:11" ht="15.75">
      <c r="A80" s="172" t="s">
        <v>268</v>
      </c>
      <c r="B80" s="60"/>
      <c r="C80" s="216"/>
      <c r="D80" s="343">
        <f>+A58</f>
        <v>2.53E-2</v>
      </c>
      <c r="E80" s="343">
        <v>1.61E-2</v>
      </c>
      <c r="F80" s="173">
        <f t="shared" si="1"/>
        <v>4.1399999999999999E-2</v>
      </c>
      <c r="G80" s="262"/>
      <c r="H80" s="10"/>
      <c r="I80" s="10"/>
    </row>
    <row r="81" spans="1:9" ht="15.75">
      <c r="A81" s="174" t="s">
        <v>269</v>
      </c>
      <c r="B81" s="175"/>
      <c r="C81" s="217"/>
      <c r="D81" s="179">
        <f>+A59</f>
        <v>2.3099999999999999E-2</v>
      </c>
      <c r="E81" s="179">
        <v>1.66E-2</v>
      </c>
      <c r="F81" s="176">
        <f t="shared" si="1"/>
        <v>3.9699999999999999E-2</v>
      </c>
      <c r="G81" s="262"/>
      <c r="H81" s="10"/>
      <c r="I81" s="10"/>
    </row>
    <row r="82" spans="1:9" ht="15.75">
      <c r="A82" s="172" t="s">
        <v>270</v>
      </c>
      <c r="B82" s="60"/>
      <c r="C82" s="216"/>
      <c r="D82" s="343">
        <f t="shared" ref="D82:D84" si="2">+A63</f>
        <v>2.5499999999999998E-2</v>
      </c>
      <c r="E82" s="343">
        <v>1.9699999999999999E-2</v>
      </c>
      <c r="F82" s="173">
        <f t="shared" si="1"/>
        <v>4.5199999999999997E-2</v>
      </c>
      <c r="G82" s="262"/>
      <c r="H82" s="10"/>
      <c r="I82" s="10"/>
    </row>
    <row r="83" spans="1:9" ht="15.75">
      <c r="A83" s="172" t="s">
        <v>271</v>
      </c>
      <c r="B83" s="60"/>
      <c r="C83" s="216"/>
      <c r="D83" s="343">
        <f t="shared" si="2"/>
        <v>2.5000000000000001E-2</v>
      </c>
      <c r="E83" s="343">
        <v>1.9300000000000001E-2</v>
      </c>
      <c r="F83" s="173">
        <f t="shared" si="1"/>
        <v>4.4300000000000006E-2</v>
      </c>
      <c r="G83" s="262"/>
      <c r="H83" s="10"/>
      <c r="I83" s="10"/>
    </row>
    <row r="84" spans="1:9" ht="15.75">
      <c r="A84" s="172" t="s">
        <v>495</v>
      </c>
      <c r="B84" s="60"/>
      <c r="C84" s="216"/>
      <c r="D84" s="343">
        <f t="shared" si="2"/>
        <v>2.4400000000000002E-2</v>
      </c>
      <c r="E84" s="343">
        <v>1.9599999999999999E-2</v>
      </c>
      <c r="F84" s="173">
        <f t="shared" si="1"/>
        <v>4.3999999999999997E-2</v>
      </c>
      <c r="G84" s="262"/>
      <c r="H84" s="10"/>
      <c r="I84" s="10"/>
    </row>
    <row r="85" spans="1:9" ht="15.75">
      <c r="A85" s="172" t="s">
        <v>496</v>
      </c>
      <c r="B85" s="60"/>
      <c r="C85" s="216"/>
      <c r="D85" s="343">
        <f>+A66</f>
        <v>2.3E-2</v>
      </c>
      <c r="E85" s="343">
        <v>1.7999999999999999E-2</v>
      </c>
      <c r="F85" s="173">
        <f t="shared" si="1"/>
        <v>4.0999999999999995E-2</v>
      </c>
      <c r="G85" s="262"/>
      <c r="H85" s="10"/>
      <c r="I85" s="10"/>
    </row>
    <row r="86" spans="1:9" ht="15.75">
      <c r="A86" s="174" t="s">
        <v>262</v>
      </c>
      <c r="B86" s="175"/>
      <c r="C86" s="217"/>
      <c r="D86" s="179">
        <f>+A67</f>
        <v>0.02</v>
      </c>
      <c r="E86" s="179">
        <v>1.7000000000000001E-2</v>
      </c>
      <c r="F86" s="176">
        <f t="shared" si="1"/>
        <v>3.7000000000000005E-2</v>
      </c>
      <c r="G86" s="262"/>
      <c r="H86" s="10"/>
      <c r="I86" s="10"/>
    </row>
    <row r="87" spans="1:9" ht="15.75">
      <c r="A87" s="102"/>
      <c r="B87" s="120"/>
      <c r="C87" s="120" t="s">
        <v>45</v>
      </c>
      <c r="D87" s="177">
        <v>2.5499999999999998E-2</v>
      </c>
      <c r="E87" s="177">
        <v>1.9699999999999999E-2</v>
      </c>
      <c r="F87" s="177">
        <v>4.5199999999999997E-2</v>
      </c>
      <c r="G87" s="263"/>
      <c r="H87" s="10"/>
      <c r="I87" s="10"/>
    </row>
    <row r="88" spans="1:9" ht="15.75">
      <c r="A88" s="102"/>
      <c r="B88" s="120"/>
      <c r="C88" s="120" t="s">
        <v>46</v>
      </c>
      <c r="D88" s="177">
        <v>0.02</v>
      </c>
      <c r="E88" s="177">
        <v>1.5800000000000002E-2</v>
      </c>
      <c r="F88" s="225">
        <v>3.6999999999999998E-2</v>
      </c>
      <c r="G88" s="263"/>
      <c r="H88" s="10"/>
      <c r="I88" s="10"/>
    </row>
    <row r="89" spans="1:9" ht="15.75">
      <c r="A89" s="102"/>
      <c r="B89" s="120"/>
      <c r="C89" s="120" t="s">
        <v>18</v>
      </c>
      <c r="D89" s="459">
        <f>MEDIAN(D79:D86)</f>
        <v>2.375E-2</v>
      </c>
      <c r="E89" s="459">
        <f>MEDIAN(E79:E86)</f>
        <v>1.7500000000000002E-2</v>
      </c>
      <c r="F89" s="173">
        <f t="shared" ref="F89:F90" si="3">+D89+E89</f>
        <v>4.1250000000000002E-2</v>
      </c>
      <c r="G89" s="262"/>
      <c r="H89" s="10"/>
      <c r="I89" s="10"/>
    </row>
    <row r="90" spans="1:9" ht="15.75">
      <c r="A90" s="102"/>
      <c r="B90" s="120"/>
      <c r="C90" s="120" t="s">
        <v>19</v>
      </c>
      <c r="D90" s="353">
        <f>AVERAGE(D79:D86)</f>
        <v>2.3662499999999996E-2</v>
      </c>
      <c r="E90" s="353">
        <f>AVERAGE(E79:E86)</f>
        <v>1.7762500000000001E-2</v>
      </c>
      <c r="F90" s="176">
        <f t="shared" si="3"/>
        <v>4.1424999999999997E-2</v>
      </c>
      <c r="G90" s="262"/>
      <c r="H90" s="10"/>
      <c r="I90" s="10"/>
    </row>
    <row r="91" spans="1:9" ht="18.75" customHeight="1">
      <c r="A91" s="10"/>
      <c r="B91" s="12"/>
    </row>
    <row r="92" spans="1:9" ht="15.75" thickBot="1">
      <c r="A92" s="10"/>
      <c r="B92" s="12"/>
    </row>
    <row r="93" spans="1:9" ht="21" thickBot="1">
      <c r="A93" s="10"/>
      <c r="B93" s="127"/>
      <c r="C93" s="47" t="s">
        <v>218</v>
      </c>
      <c r="D93" s="317">
        <v>2.366E-2</v>
      </c>
      <c r="E93" s="317">
        <v>1.7760000000000001E-2</v>
      </c>
      <c r="F93" s="354">
        <f>+D93+E93</f>
        <v>4.1419999999999998E-2</v>
      </c>
    </row>
    <row r="94" spans="1:9">
      <c r="A94" s="10"/>
      <c r="B94" s="10"/>
      <c r="C94" s="10"/>
      <c r="D94" s="10"/>
      <c r="E94" s="10"/>
      <c r="F94" s="10"/>
      <c r="G94" s="10"/>
      <c r="I94" s="10"/>
    </row>
    <row r="95" spans="1:9" ht="16.5" customHeight="1">
      <c r="A95" s="10"/>
      <c r="B95" s="10"/>
      <c r="C95" s="10"/>
      <c r="D95" s="10"/>
      <c r="E95" s="10"/>
      <c r="F95" s="10"/>
      <c r="G95" s="10"/>
      <c r="I95" s="10" t="s">
        <v>0</v>
      </c>
    </row>
    <row r="96" spans="1:9">
      <c r="A96" s="10"/>
      <c r="B96" s="10"/>
      <c r="C96" s="10"/>
      <c r="D96" s="10"/>
      <c r="E96" s="10"/>
      <c r="F96" s="10"/>
      <c r="G96" s="10"/>
      <c r="H96" s="10"/>
      <c r="I96" s="10"/>
    </row>
    <row r="97" spans="1:9">
      <c r="A97" s="128" t="s">
        <v>150</v>
      </c>
      <c r="B97" s="129"/>
      <c r="C97" s="129"/>
      <c r="D97" s="129"/>
      <c r="E97" s="130"/>
      <c r="F97" s="129"/>
      <c r="G97" s="129"/>
      <c r="H97" s="129"/>
      <c r="I97" s="10"/>
    </row>
    <row r="98" spans="1:9" ht="16.5" customHeight="1">
      <c r="A98" s="473" t="s">
        <v>391</v>
      </c>
      <c r="B98" s="473"/>
      <c r="C98" s="473"/>
      <c r="D98" s="473"/>
      <c r="E98" s="473"/>
      <c r="F98" s="473"/>
      <c r="G98" s="473"/>
      <c r="H98" s="473"/>
      <c r="I98" s="10"/>
    </row>
    <row r="99" spans="1:9">
      <c r="A99" s="151" t="s">
        <v>392</v>
      </c>
      <c r="B99" s="129"/>
      <c r="C99" s="151" t="s">
        <v>0</v>
      </c>
      <c r="D99" s="129"/>
      <c r="E99" s="130"/>
      <c r="F99" s="129"/>
      <c r="G99" s="129"/>
      <c r="H99" s="129"/>
      <c r="I99" s="10"/>
    </row>
    <row r="100" spans="1:9">
      <c r="A100" s="128"/>
      <c r="B100" s="129"/>
      <c r="C100" s="129"/>
      <c r="D100" s="129"/>
      <c r="E100" s="130"/>
      <c r="F100" s="129"/>
      <c r="G100" s="129"/>
      <c r="H100" s="129"/>
      <c r="I100" s="10"/>
    </row>
    <row r="101" spans="1:9" ht="16.5" customHeight="1">
      <c r="A101" s="473" t="s">
        <v>390</v>
      </c>
      <c r="B101" s="473"/>
      <c r="C101" s="473"/>
      <c r="D101" s="473"/>
      <c r="E101" s="473"/>
      <c r="F101" s="473"/>
      <c r="G101" s="473"/>
      <c r="H101" s="473"/>
      <c r="I101" s="10"/>
    </row>
    <row r="102" spans="1:9">
      <c r="A102" s="131" t="s">
        <v>151</v>
      </c>
      <c r="B102" s="132"/>
      <c r="C102" s="132" t="s">
        <v>0</v>
      </c>
      <c r="D102" s="132"/>
      <c r="E102" s="132"/>
      <c r="F102" s="132"/>
      <c r="G102" s="132"/>
      <c r="H102" s="129"/>
      <c r="I102" s="10"/>
    </row>
    <row r="103" spans="1:9">
      <c r="A103" s="131"/>
      <c r="B103" s="132"/>
      <c r="C103" s="132"/>
      <c r="D103" s="132"/>
      <c r="E103" s="132"/>
      <c r="F103" s="132"/>
      <c r="G103" s="132"/>
      <c r="H103" s="129"/>
      <c r="I103" s="10"/>
    </row>
    <row r="104" spans="1:9" ht="16.5" customHeight="1">
      <c r="A104" s="473" t="s">
        <v>217</v>
      </c>
      <c r="B104" s="473"/>
      <c r="C104" s="473"/>
      <c r="D104" s="473"/>
      <c r="E104" s="473"/>
      <c r="F104" s="473"/>
      <c r="G104" s="473"/>
      <c r="H104" s="473"/>
      <c r="I104" s="10"/>
    </row>
    <row r="105" spans="1:9">
      <c r="A105" s="131" t="s">
        <v>151</v>
      </c>
      <c r="B105" s="132"/>
      <c r="C105" s="132" t="s">
        <v>0</v>
      </c>
      <c r="D105" s="132"/>
      <c r="E105" s="132"/>
      <c r="F105" s="132"/>
      <c r="G105" s="132"/>
      <c r="H105" s="129"/>
      <c r="I105" s="10"/>
    </row>
    <row r="106" spans="1:9">
      <c r="A106" s="131"/>
      <c r="B106" s="132"/>
      <c r="C106" s="132"/>
      <c r="D106" s="132"/>
      <c r="E106" s="132"/>
      <c r="F106" s="132"/>
      <c r="G106" s="132"/>
      <c r="H106" s="129"/>
      <c r="I106" s="10"/>
    </row>
    <row r="107" spans="1:9" ht="16.5" customHeight="1">
      <c r="A107" s="473" t="s">
        <v>400</v>
      </c>
      <c r="B107" s="473"/>
      <c r="C107" s="473"/>
      <c r="D107" s="473"/>
      <c r="E107" s="473"/>
      <c r="F107" s="473"/>
      <c r="G107" s="473"/>
      <c r="H107" s="473"/>
      <c r="I107" s="10"/>
    </row>
    <row r="108" spans="1:9">
      <c r="A108" s="344" t="s">
        <v>152</v>
      </c>
      <c r="B108" s="132"/>
      <c r="C108" s="132"/>
      <c r="D108" s="132"/>
      <c r="E108" s="132"/>
      <c r="F108" s="132"/>
      <c r="G108" s="132"/>
      <c r="H108" s="129"/>
      <c r="I108" s="10"/>
    </row>
    <row r="109" spans="1:9">
      <c r="A109" s="151" t="s">
        <v>401</v>
      </c>
      <c r="B109" s="132"/>
      <c r="C109" s="132"/>
      <c r="D109" s="132"/>
      <c r="E109" s="132"/>
      <c r="F109" s="132"/>
      <c r="G109" s="132"/>
      <c r="H109" s="129"/>
      <c r="I109" s="10"/>
    </row>
    <row r="110" spans="1:9">
      <c r="A110" s="151"/>
      <c r="B110" s="132"/>
      <c r="C110" s="132"/>
      <c r="D110" s="132"/>
      <c r="E110" s="132"/>
      <c r="F110" s="132"/>
      <c r="G110" s="132"/>
      <c r="H110" s="129"/>
      <c r="I110" s="10"/>
    </row>
    <row r="111" spans="1:9">
      <c r="A111" s="134" t="s">
        <v>497</v>
      </c>
      <c r="B111" s="134"/>
      <c r="C111" s="134"/>
      <c r="D111" s="134"/>
      <c r="E111" s="134"/>
      <c r="F111" s="134"/>
      <c r="G111" s="134"/>
      <c r="H111" s="129"/>
      <c r="I111" s="10"/>
    </row>
    <row r="112" spans="1:9">
      <c r="A112" s="133" t="s">
        <v>153</v>
      </c>
      <c r="B112" s="132"/>
      <c r="C112" s="151" t="s">
        <v>498</v>
      </c>
      <c r="D112" s="132"/>
      <c r="E112" s="132"/>
      <c r="F112" s="132"/>
      <c r="G112" s="132"/>
      <c r="H112" s="129"/>
      <c r="I112" s="10"/>
    </row>
    <row r="113" spans="1:9">
      <c r="A113" s="133"/>
      <c r="B113" s="135"/>
      <c r="C113" s="135"/>
      <c r="D113" s="135"/>
      <c r="E113" s="135"/>
      <c r="F113" s="135"/>
      <c r="G113" s="135"/>
      <c r="H113" s="136"/>
      <c r="I113" s="10"/>
    </row>
    <row r="114" spans="1:9">
      <c r="A114" s="134" t="s">
        <v>263</v>
      </c>
    </row>
    <row r="115" spans="1:9">
      <c r="A115" s="345" t="s">
        <v>402</v>
      </c>
    </row>
    <row r="123" spans="1:9">
      <c r="A123" t="s">
        <v>0</v>
      </c>
    </row>
    <row r="127" spans="1:9">
      <c r="A127" t="s">
        <v>0</v>
      </c>
    </row>
    <row r="130" spans="1:1" ht="17.25" customHeight="1"/>
    <row r="131" spans="1:1" ht="17.25" customHeight="1"/>
    <row r="132" spans="1:1" ht="17.25" customHeight="1"/>
    <row r="133" spans="1:1" ht="17.25" customHeight="1"/>
    <row r="134" spans="1:1" ht="17.25" customHeight="1"/>
    <row r="135" spans="1:1" ht="17.25" customHeight="1"/>
    <row r="136" spans="1:1" ht="17.25" customHeight="1"/>
    <row r="137" spans="1:1" ht="17.25" customHeight="1"/>
    <row r="138" spans="1:1" ht="17.25" customHeight="1"/>
    <row r="139" spans="1:1" ht="17.25" customHeight="1"/>
    <row r="140" spans="1:1" ht="17.25" customHeight="1"/>
    <row r="141" spans="1:1" ht="17.25" customHeight="1"/>
    <row r="142" spans="1:1" ht="17.25" customHeight="1"/>
    <row r="143" spans="1:1" ht="17.25" customHeight="1"/>
    <row r="144" spans="1:1" ht="17.25" customHeight="1">
      <c r="A144" t="s">
        <v>0</v>
      </c>
    </row>
    <row r="145" ht="17.25" customHeight="1"/>
    <row r="146" ht="17.25" customHeight="1"/>
    <row r="147" ht="17.25" customHeight="1"/>
    <row r="148" ht="17.25" customHeight="1"/>
    <row r="149" ht="17.25" customHeight="1"/>
    <row r="150" ht="17.25" customHeight="1"/>
    <row r="151" ht="17.25" customHeight="1"/>
    <row r="152" ht="17.25" customHeight="1"/>
    <row r="153" ht="17.25" customHeight="1"/>
  </sheetData>
  <mergeCells count="4">
    <mergeCell ref="A98:H98"/>
    <mergeCell ref="A101:H101"/>
    <mergeCell ref="A104:H104"/>
    <mergeCell ref="A107:H107"/>
  </mergeCells>
  <hyperlinks>
    <hyperlink ref="A102" r:id="rId1" xr:uid="{5EA0A10B-4B70-456C-BEEB-82E0E44B9643}"/>
    <hyperlink ref="A112" r:id="rId2" location="4" display="https://www.cbo.gov/about/products/budget-economic-data - 4" xr:uid="{DF4AB774-7AC4-43F5-A0C9-DF363BC1FA4E}"/>
    <hyperlink ref="A108" r:id="rId3" xr:uid="{44CE5F47-C4A7-49FD-8E10-4E0DB0A0299C}"/>
    <hyperlink ref="A105" r:id="rId4" xr:uid="{84CC5C16-60E9-4CC4-9A1C-A4469E83F95E}"/>
    <hyperlink ref="A51" r:id="rId5" xr:uid="{C1C60050-1A64-406D-831A-0437797D9E0C}"/>
    <hyperlink ref="B35" r:id="rId6" xr:uid="{E884E8BA-D3E5-4295-B340-500CC9C0BE68}"/>
    <hyperlink ref="B38" r:id="rId7" xr:uid="{2CE19A8D-95FC-4E5A-BDA2-D9C7AA85FB60}"/>
    <hyperlink ref="B44" r:id="rId8" xr:uid="{D37B42C4-25A0-4F88-BB23-6D6D6D52F719}"/>
    <hyperlink ref="B41" r:id="rId9" xr:uid="{2FD22D3F-AD54-4DD0-A517-3E62360BE163}"/>
    <hyperlink ref="B47" r:id="rId10" xr:uid="{4364B81F-FE49-4BE9-8D0F-A25631B65116}"/>
    <hyperlink ref="A99" r:id="rId11" xr:uid="{C1256317-636B-43B0-8D31-763ADB370C54}"/>
    <hyperlink ref="A115" r:id="rId12" xr:uid="{BF51F957-793B-48A6-B9C6-FD459076C437}"/>
    <hyperlink ref="C99" r:id="rId13" display="https://www.federalreserve.gov/datadownload/Preview.aspx?pi=400&amp;rel=H15&amp;preview=%20H15/H15/RIFLGFCY05_N.WF" xr:uid="{AFFE8C44-5421-4D76-842B-46AB11ABAF8B}"/>
    <hyperlink ref="A109" r:id="rId14" display="https://www.philadelphiafed.org/-/media/frbp/assets/surveys-and-data/survey-of-professional-forecasters/2023/spfq123.pdf" xr:uid="{97209592-897F-4405-99CE-FD5FCBAA9547}"/>
    <hyperlink ref="C112" r:id="rId15" xr:uid="{64B1DC8D-48EF-4B05-8CD2-6AE739CD43BE}"/>
  </hyperlinks>
  <pageMargins left="0.25" right="0.25" top="0.75" bottom="0.75" header="0.3" footer="0.3"/>
  <pageSetup scale="28" fitToWidth="0" orientation="portrait" r:id="rId16"/>
  <rowBreaks count="1" manualBreakCount="1">
    <brk id="11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8A84D-13B0-4820-9B18-52C274638BE2}">
  <sheetPr>
    <tabColor rgb="FF92D050"/>
    <pageSetUpPr fitToPage="1"/>
  </sheetPr>
  <dimension ref="A1:I106"/>
  <sheetViews>
    <sheetView view="pageBreakPreview" topLeftCell="A20" zoomScale="70" zoomScaleNormal="80" zoomScaleSheetLayoutView="70" workbookViewId="0">
      <selection activeCell="E47" sqref="E47"/>
    </sheetView>
  </sheetViews>
  <sheetFormatPr defaultRowHeight="15"/>
  <cols>
    <col min="1" max="1" width="45.7109375" customWidth="1"/>
    <col min="2" max="2" width="17.42578125" customWidth="1"/>
    <col min="3" max="3" width="72.140625" customWidth="1"/>
    <col min="4" max="4" width="34.5703125" customWidth="1"/>
    <col min="5" max="5" width="21.7109375" customWidth="1"/>
    <col min="6" max="6" width="19.7109375"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1" t="s">
        <v>1</v>
      </c>
      <c r="B1" s="10"/>
      <c r="C1" s="10"/>
      <c r="D1" s="10"/>
      <c r="E1" s="10"/>
      <c r="F1" s="10"/>
      <c r="G1" s="10"/>
      <c r="H1" s="10"/>
      <c r="I1" s="10"/>
    </row>
    <row r="2" spans="1:9" ht="15.75">
      <c r="A2" s="60" t="s">
        <v>9</v>
      </c>
      <c r="B2" s="10"/>
      <c r="C2" s="10"/>
      <c r="D2" s="10"/>
      <c r="E2" s="10"/>
      <c r="F2" s="10"/>
      <c r="G2" s="10"/>
      <c r="H2" s="10"/>
      <c r="I2" s="10"/>
    </row>
    <row r="3" spans="1:9">
      <c r="A3" s="41" t="s">
        <v>62</v>
      </c>
      <c r="B3" s="10"/>
      <c r="C3" s="10"/>
      <c r="D3" s="10"/>
      <c r="E3" s="10"/>
      <c r="F3" s="10"/>
      <c r="G3" s="10"/>
      <c r="H3" s="10"/>
      <c r="I3" s="10"/>
    </row>
    <row r="4" spans="1:9">
      <c r="A4" s="10"/>
      <c r="B4" s="10"/>
      <c r="C4" s="10"/>
      <c r="D4" s="10"/>
      <c r="E4" s="10"/>
      <c r="F4" s="10"/>
      <c r="G4" s="10"/>
      <c r="H4" s="10"/>
      <c r="I4" s="10"/>
    </row>
    <row r="5" spans="1:9" ht="16.5" thickBot="1">
      <c r="A5" s="60"/>
      <c r="B5" s="10"/>
      <c r="C5" s="10"/>
      <c r="D5" s="10"/>
      <c r="E5" s="10"/>
      <c r="F5" s="10"/>
      <c r="G5" s="10"/>
      <c r="H5" s="10"/>
      <c r="I5" s="10"/>
    </row>
    <row r="6" spans="1:9" ht="18.75" thickBot="1">
      <c r="A6" s="266" t="str">
        <f>+'S&amp;D'!A12</f>
        <v>Air Freight Carriers</v>
      </c>
      <c r="B6" s="200"/>
      <c r="C6" s="10"/>
      <c r="D6" s="10"/>
      <c r="E6" s="10"/>
      <c r="F6" s="10"/>
      <c r="G6" s="10"/>
      <c r="H6" s="10"/>
      <c r="I6" s="10"/>
    </row>
    <row r="7" spans="1:9" ht="32.25" customHeight="1" thickBot="1">
      <c r="A7" s="60"/>
      <c r="B7" s="10"/>
      <c r="C7" s="26"/>
      <c r="E7" s="10"/>
      <c r="F7" s="10"/>
      <c r="G7" s="10"/>
      <c r="H7" s="10"/>
      <c r="I7" s="10"/>
    </row>
    <row r="8" spans="1:9" ht="20.25">
      <c r="B8" s="10"/>
      <c r="C8" s="29" t="s">
        <v>160</v>
      </c>
      <c r="E8" s="10"/>
      <c r="F8" s="10"/>
      <c r="G8" s="10"/>
      <c r="H8" s="10"/>
      <c r="I8" s="10"/>
    </row>
    <row r="9" spans="1:9" ht="18.75" thickBot="1">
      <c r="A9" s="28"/>
      <c r="B9" s="10"/>
      <c r="C9" s="30" t="s">
        <v>76</v>
      </c>
      <c r="E9" s="10"/>
      <c r="F9" s="10"/>
      <c r="G9" s="10"/>
      <c r="H9" s="10"/>
      <c r="I9" s="10"/>
    </row>
    <row r="10" spans="1:9" ht="18">
      <c r="A10" s="28"/>
      <c r="B10" s="10"/>
      <c r="C10" s="10"/>
      <c r="D10" s="10"/>
      <c r="E10" s="10"/>
      <c r="F10" s="10"/>
      <c r="G10" s="10"/>
      <c r="H10" s="10"/>
      <c r="I10" s="10"/>
    </row>
    <row r="11" spans="1:9" ht="25.5" customHeight="1" thickBot="1">
      <c r="A11" s="10"/>
      <c r="B11" s="10"/>
      <c r="C11" s="10"/>
      <c r="D11" s="10"/>
      <c r="E11" s="10"/>
      <c r="F11" s="10"/>
      <c r="G11" s="10"/>
      <c r="H11" s="10"/>
      <c r="I11" s="10"/>
    </row>
    <row r="12" spans="1:9">
      <c r="A12" s="10"/>
      <c r="B12" s="10"/>
      <c r="C12" s="75" t="s">
        <v>0</v>
      </c>
      <c r="D12" s="75" t="s">
        <v>193</v>
      </c>
      <c r="E12" s="10"/>
      <c r="F12" s="10"/>
      <c r="G12" s="10"/>
      <c r="H12" s="10"/>
      <c r="I12" s="10"/>
    </row>
    <row r="13" spans="1:9" ht="18.75" thickBot="1">
      <c r="A13" s="10"/>
      <c r="B13" s="10"/>
      <c r="C13" s="411" t="s">
        <v>159</v>
      </c>
      <c r="D13" s="77" t="s">
        <v>289</v>
      </c>
      <c r="E13" s="10"/>
      <c r="F13" s="10"/>
      <c r="G13" s="10"/>
      <c r="H13" s="10"/>
      <c r="I13" s="10"/>
    </row>
    <row r="14" spans="1:9" ht="15.75">
      <c r="A14" s="10"/>
      <c r="B14" s="10"/>
      <c r="C14" s="412" t="s">
        <v>438</v>
      </c>
      <c r="D14" s="413">
        <f>+CAPM!F16</f>
        <v>7.1163999999999991E-2</v>
      </c>
      <c r="E14" s="414"/>
      <c r="F14" s="10"/>
      <c r="G14" s="10"/>
      <c r="H14" s="10"/>
      <c r="I14" s="10"/>
    </row>
    <row r="15" spans="1:9" ht="15.75">
      <c r="A15" s="10"/>
      <c r="B15" s="10"/>
      <c r="C15" s="415" t="s">
        <v>439</v>
      </c>
      <c r="D15" s="416">
        <f>+CAPM!F17</f>
        <v>8.2516000000000006E-2</v>
      </c>
      <c r="E15" s="414"/>
      <c r="F15" s="10"/>
      <c r="G15" s="10"/>
      <c r="H15" s="10"/>
      <c r="I15" s="10"/>
    </row>
    <row r="16" spans="1:9" ht="15.75">
      <c r="A16" s="10"/>
      <c r="B16" s="10"/>
      <c r="C16" s="415" t="s">
        <v>472</v>
      </c>
      <c r="D16" s="416">
        <f>+CAPM!F19</f>
        <v>9.3691999999999998E-2</v>
      </c>
      <c r="E16" s="414"/>
      <c r="F16" s="10"/>
      <c r="G16" s="10"/>
      <c r="H16" s="10"/>
      <c r="I16" s="10"/>
    </row>
    <row r="17" spans="1:9" ht="15.75">
      <c r="A17" s="10"/>
      <c r="B17" s="10"/>
      <c r="C17" s="415" t="s">
        <v>483</v>
      </c>
      <c r="D17" s="416">
        <f>+CAPM!F20</f>
        <v>9.290000000000001E-2</v>
      </c>
      <c r="E17" s="414"/>
      <c r="F17" s="10"/>
      <c r="G17" s="10"/>
      <c r="H17" s="10"/>
      <c r="I17" s="10"/>
    </row>
    <row r="18" spans="1:9" ht="15.75">
      <c r="A18" s="10"/>
      <c r="B18" s="10"/>
      <c r="C18" s="415" t="s">
        <v>473</v>
      </c>
      <c r="D18" s="416">
        <f>+CAPM!F21</f>
        <v>9.1403999999999999E-2</v>
      </c>
      <c r="E18" s="414"/>
      <c r="F18" s="10"/>
      <c r="G18" s="10"/>
      <c r="H18" s="10"/>
      <c r="I18" s="10"/>
    </row>
    <row r="19" spans="1:9" ht="15.75">
      <c r="A19" s="10"/>
      <c r="B19" s="10"/>
      <c r="C19" s="415" t="s">
        <v>474</v>
      </c>
      <c r="D19" s="416">
        <f>+CAPM!F22</f>
        <v>8.3923999999999999E-2</v>
      </c>
      <c r="E19" s="414"/>
      <c r="F19" s="10"/>
      <c r="G19" s="10"/>
      <c r="H19" s="10"/>
      <c r="I19" s="10"/>
    </row>
    <row r="20" spans="1:9" ht="15.75">
      <c r="A20" s="10"/>
      <c r="B20" s="10"/>
      <c r="C20" s="415" t="s">
        <v>161</v>
      </c>
      <c r="D20" s="416">
        <f>+CAPM!F24</f>
        <v>8.2075999999999996E-2</v>
      </c>
      <c r="E20" s="414"/>
      <c r="F20" s="10"/>
      <c r="G20" s="10"/>
      <c r="H20" s="10"/>
      <c r="I20" s="10"/>
    </row>
    <row r="21" spans="1:9" ht="15.75">
      <c r="A21" s="10"/>
      <c r="B21" s="10"/>
      <c r="C21" s="439" t="s">
        <v>162</v>
      </c>
      <c r="D21" s="416">
        <f>+CAPM!F26</f>
        <v>9.0700000000000003E-2</v>
      </c>
      <c r="E21" s="414"/>
      <c r="F21" s="10"/>
      <c r="G21" s="10"/>
      <c r="H21" s="10"/>
      <c r="I21" s="10"/>
    </row>
    <row r="22" spans="1:9" ht="17.25">
      <c r="A22" s="10"/>
      <c r="B22" s="10"/>
      <c r="C22" s="439" t="s">
        <v>163</v>
      </c>
      <c r="D22" s="416">
        <f>+CAPM!F28</f>
        <v>9.6683999999999992E-2</v>
      </c>
      <c r="E22" s="477"/>
      <c r="G22" s="10"/>
      <c r="H22" s="10"/>
      <c r="I22" s="10"/>
    </row>
    <row r="23" spans="1:9" ht="17.25">
      <c r="A23" s="10"/>
      <c r="B23" s="10"/>
      <c r="C23" s="439" t="s">
        <v>164</v>
      </c>
      <c r="D23" s="416">
        <f>+CAPM!F29</f>
        <v>8.5508000000000001E-2</v>
      </c>
      <c r="E23" s="477"/>
      <c r="G23" s="10"/>
      <c r="H23" s="10"/>
      <c r="I23" s="10"/>
    </row>
    <row r="24" spans="1:9" ht="17.25">
      <c r="A24" s="10"/>
      <c r="B24" s="10"/>
      <c r="C24" s="440" t="s">
        <v>469</v>
      </c>
      <c r="D24" s="416">
        <f>+CAPM!F31</f>
        <v>0.104516</v>
      </c>
      <c r="E24" s="477"/>
      <c r="G24" s="10"/>
      <c r="H24" s="10"/>
      <c r="I24" s="10"/>
    </row>
    <row r="25" spans="1:9" ht="17.25">
      <c r="A25" s="10"/>
      <c r="B25" s="10"/>
      <c r="C25" s="440" t="s">
        <v>468</v>
      </c>
      <c r="D25" s="416">
        <f>+CAPM!F32</f>
        <v>9.7299999999999998E-2</v>
      </c>
      <c r="E25" s="477"/>
      <c r="G25" s="10"/>
      <c r="H25" s="10"/>
      <c r="I25" s="10"/>
    </row>
    <row r="26" spans="1:9" ht="17.25">
      <c r="A26" s="10"/>
      <c r="B26" s="10"/>
      <c r="C26" s="440" t="s">
        <v>466</v>
      </c>
      <c r="D26" s="416">
        <f>+CAPM!F33</f>
        <v>9.4219999999999998E-2</v>
      </c>
      <c r="E26" s="477"/>
      <c r="G26" s="10"/>
      <c r="H26" s="10"/>
      <c r="I26" s="10"/>
    </row>
    <row r="27" spans="1:9" ht="17.25">
      <c r="A27" s="10"/>
      <c r="B27" s="10"/>
      <c r="C27" s="439" t="s">
        <v>458</v>
      </c>
      <c r="D27" s="416">
        <f>+CAPM!F35</f>
        <v>9.4219999999999998E-2</v>
      </c>
      <c r="E27" s="477"/>
      <c r="G27" s="10"/>
      <c r="H27" s="10"/>
      <c r="I27" s="10"/>
    </row>
    <row r="28" spans="1:9" ht="17.25">
      <c r="A28" s="10"/>
      <c r="B28" s="10"/>
      <c r="C28" s="439" t="s">
        <v>440</v>
      </c>
      <c r="D28" s="416">
        <f>+CAPM!G42</f>
        <v>7.2177999999999992E-2</v>
      </c>
      <c r="E28" s="477"/>
      <c r="G28" s="10"/>
      <c r="H28" s="10"/>
      <c r="I28" s="10"/>
    </row>
    <row r="29" spans="1:9" ht="17.25">
      <c r="A29" s="10"/>
      <c r="B29" s="10"/>
      <c r="C29" s="439" t="s">
        <v>441</v>
      </c>
      <c r="D29" s="416">
        <f>+CAPM!G43</f>
        <v>8.3916999999999992E-2</v>
      </c>
      <c r="E29" s="477"/>
      <c r="G29" s="10"/>
      <c r="H29" s="10"/>
      <c r="I29" s="10"/>
    </row>
    <row r="30" spans="1:9" ht="17.25">
      <c r="A30" s="10"/>
      <c r="B30" s="10"/>
      <c r="C30" s="415" t="s">
        <v>475</v>
      </c>
      <c r="D30" s="416">
        <f>+CAPM!G45</f>
        <v>9.5474000000000003E-2</v>
      </c>
      <c r="E30" s="477"/>
      <c r="G30" s="10"/>
      <c r="H30" s="10"/>
      <c r="I30" s="10"/>
    </row>
    <row r="31" spans="1:9" ht="17.25">
      <c r="A31" s="10"/>
      <c r="B31" s="10"/>
      <c r="C31" s="415" t="s">
        <v>484</v>
      </c>
      <c r="D31" s="416">
        <f>+CAPM!G46</f>
        <v>9.4655000000000003E-2</v>
      </c>
      <c r="E31" s="477"/>
      <c r="G31" s="10"/>
      <c r="H31" s="10"/>
      <c r="I31" s="10"/>
    </row>
    <row r="32" spans="1:9" ht="17.25">
      <c r="A32" s="10"/>
      <c r="B32" s="10"/>
      <c r="C32" s="415" t="s">
        <v>476</v>
      </c>
      <c r="D32" s="416">
        <f>+CAPM!G47</f>
        <v>9.3107999999999996E-2</v>
      </c>
      <c r="E32" s="477"/>
      <c r="G32" s="10"/>
      <c r="H32" s="10"/>
      <c r="I32" s="10"/>
    </row>
    <row r="33" spans="1:9" ht="17.25">
      <c r="A33" s="10"/>
      <c r="B33" s="10"/>
      <c r="C33" s="415" t="s">
        <v>477</v>
      </c>
      <c r="D33" s="416">
        <f>+CAPM!G48</f>
        <v>8.5373000000000004E-2</v>
      </c>
      <c r="E33" s="477"/>
      <c r="G33" s="10"/>
      <c r="H33" s="10"/>
      <c r="I33" s="10"/>
    </row>
    <row r="34" spans="1:9" ht="17.25">
      <c r="A34" s="10"/>
      <c r="B34" s="10"/>
      <c r="C34" s="439" t="s">
        <v>165</v>
      </c>
      <c r="D34" s="416">
        <f>+CAPM!G50</f>
        <v>8.3461999999999995E-2</v>
      </c>
      <c r="E34" s="477"/>
      <c r="G34" s="10"/>
      <c r="H34" s="10"/>
      <c r="I34" s="10"/>
    </row>
    <row r="35" spans="1:9" ht="17.25">
      <c r="A35" s="10"/>
      <c r="B35" s="10"/>
      <c r="C35" s="439" t="s">
        <v>166</v>
      </c>
      <c r="D35" s="416">
        <f>+CAPM!G52</f>
        <v>9.2380000000000004E-2</v>
      </c>
      <c r="E35" s="477"/>
      <c r="G35" s="10"/>
      <c r="H35" s="10"/>
      <c r="I35" s="10"/>
    </row>
    <row r="36" spans="1:9" ht="17.25">
      <c r="A36" s="10"/>
      <c r="B36" s="10"/>
      <c r="C36" s="440" t="s">
        <v>167</v>
      </c>
      <c r="D36" s="416">
        <f>+CAPM!G54</f>
        <v>9.8567999999999989E-2</v>
      </c>
      <c r="E36" s="477"/>
      <c r="G36" s="10"/>
      <c r="H36" s="10"/>
      <c r="I36" s="10"/>
    </row>
    <row r="37" spans="1:9" ht="17.25">
      <c r="A37" s="10"/>
      <c r="B37" s="10"/>
      <c r="C37" s="439" t="s">
        <v>168</v>
      </c>
      <c r="D37" s="416">
        <f>+CAPM!G55</f>
        <v>8.7011000000000005E-2</v>
      </c>
      <c r="E37" s="477"/>
      <c r="G37" s="10"/>
      <c r="H37" s="10"/>
      <c r="I37" s="10"/>
    </row>
    <row r="38" spans="1:9" ht="16.5" customHeight="1">
      <c r="A38" s="10"/>
      <c r="B38" s="10"/>
      <c r="C38" s="440" t="s">
        <v>470</v>
      </c>
      <c r="D38" s="416">
        <f>+CAPM!G57</f>
        <v>0.106667</v>
      </c>
      <c r="E38" s="477"/>
      <c r="G38" s="10"/>
      <c r="H38" s="10"/>
      <c r="I38" s="10"/>
    </row>
    <row r="39" spans="1:9" ht="16.5" customHeight="1">
      <c r="A39" s="10"/>
      <c r="B39" s="10"/>
      <c r="C39" s="440" t="s">
        <v>471</v>
      </c>
      <c r="D39" s="416">
        <f>+CAPM!G58</f>
        <v>9.9205000000000002E-2</v>
      </c>
      <c r="E39" s="477"/>
      <c r="G39" s="10"/>
      <c r="H39" s="10"/>
      <c r="I39" s="10"/>
    </row>
    <row r="40" spans="1:9" ht="18.75" customHeight="1">
      <c r="A40" s="10"/>
      <c r="B40" s="10"/>
      <c r="C40" s="440" t="s">
        <v>467</v>
      </c>
      <c r="D40" s="416">
        <f>+CAPM!G59</f>
        <v>9.6019999999999994E-2</v>
      </c>
      <c r="E40" s="477"/>
      <c r="G40" s="10"/>
      <c r="H40" s="10"/>
      <c r="I40" s="10"/>
    </row>
    <row r="41" spans="1:9" ht="18.75" customHeight="1">
      <c r="A41" s="10"/>
      <c r="B41" s="10"/>
      <c r="C41" s="442" t="s">
        <v>459</v>
      </c>
      <c r="D41" s="474">
        <f>+CAPM!G61</f>
        <v>9.6019999999999994E-2</v>
      </c>
      <c r="E41" s="477"/>
      <c r="G41" s="10"/>
      <c r="H41" s="10"/>
      <c r="I41" s="10"/>
    </row>
    <row r="42" spans="1:9" ht="21.75" customHeight="1">
      <c r="A42" s="10"/>
      <c r="B42" s="10"/>
      <c r="C42" s="441" t="s">
        <v>243</v>
      </c>
      <c r="D42" s="438">
        <f>+'Single Stage Div Growth Model'!I27</f>
        <v>0.1394</v>
      </c>
      <c r="E42" s="477"/>
      <c r="G42" s="10"/>
      <c r="H42" s="10"/>
      <c r="I42" s="10"/>
    </row>
    <row r="43" spans="1:9" ht="21.75" customHeight="1">
      <c r="A43" s="10"/>
      <c r="B43" s="10"/>
      <c r="C43" s="441" t="s">
        <v>242</v>
      </c>
      <c r="D43" s="438">
        <f>+'Single Stage Div Growth Model'!I29</f>
        <v>0.11459999999999999</v>
      </c>
      <c r="E43" s="477"/>
      <c r="G43" s="10"/>
      <c r="H43" s="10"/>
      <c r="I43" s="10"/>
    </row>
    <row r="44" spans="1:9" ht="21.75" customHeight="1">
      <c r="A44" s="10"/>
      <c r="B44" s="10"/>
      <c r="C44" s="417" t="s">
        <v>244</v>
      </c>
      <c r="D44" s="475">
        <f>+'Two-Stage Div Growth Model'!H31</f>
        <v>0.1018</v>
      </c>
      <c r="E44" s="477"/>
      <c r="G44" s="78" t="s">
        <v>0</v>
      </c>
      <c r="H44" s="10"/>
      <c r="I44" s="10"/>
    </row>
    <row r="45" spans="1:9" ht="21.75" customHeight="1">
      <c r="A45" s="10"/>
      <c r="B45" s="10"/>
      <c r="C45" s="409" t="s">
        <v>371</v>
      </c>
      <c r="D45" s="476">
        <f>+'Direct NOPAT'!G53</f>
        <v>0.12609999999999999</v>
      </c>
      <c r="E45" s="478" t="s">
        <v>0</v>
      </c>
      <c r="F45" s="10"/>
      <c r="G45" s="10"/>
      <c r="H45" s="10"/>
      <c r="I45" s="10"/>
    </row>
    <row r="46" spans="1:9" ht="15.75" thickBot="1">
      <c r="A46" s="10"/>
      <c r="B46" s="10"/>
      <c r="C46" s="10"/>
      <c r="D46" s="67"/>
      <c r="E46" s="10"/>
      <c r="F46" s="10"/>
      <c r="G46" s="10"/>
      <c r="H46" s="10"/>
      <c r="I46" s="10"/>
    </row>
    <row r="47" spans="1:9" ht="15.75" thickTop="1">
      <c r="A47" s="10"/>
      <c r="B47" s="10"/>
      <c r="C47" s="12" t="s">
        <v>45</v>
      </c>
      <c r="D47" s="50">
        <v>0.1394</v>
      </c>
      <c r="E47" s="150"/>
      <c r="F47" s="10"/>
      <c r="G47" s="10"/>
      <c r="H47" s="10"/>
      <c r="I47" s="10"/>
    </row>
    <row r="48" spans="1:9">
      <c r="A48" s="10"/>
      <c r="B48" s="10"/>
      <c r="C48" s="12" t="s">
        <v>46</v>
      </c>
      <c r="D48" s="324">
        <v>7.2700000000000001E-2</v>
      </c>
      <c r="E48" s="10"/>
      <c r="F48" s="10"/>
      <c r="G48" s="50"/>
      <c r="H48" s="50"/>
      <c r="I48" s="50"/>
    </row>
    <row r="49" spans="1:9">
      <c r="A49" s="10"/>
      <c r="B49" s="10"/>
      <c r="C49" s="12" t="s">
        <v>18</v>
      </c>
      <c r="D49" s="78">
        <f>MEDIAN(D14:D44)</f>
        <v>9.3691999999999998E-2</v>
      </c>
      <c r="E49" s="78"/>
      <c r="F49" s="78"/>
      <c r="G49" s="78"/>
      <c r="H49" s="78"/>
      <c r="I49" s="78"/>
    </row>
    <row r="50" spans="1:9">
      <c r="A50" s="10"/>
      <c r="B50" s="10"/>
      <c r="C50" s="12" t="s">
        <v>443</v>
      </c>
      <c r="D50" s="79">
        <f>AVERAGE(D14:D44)</f>
        <v>9.3569741935483869E-2</v>
      </c>
      <c r="E50" s="79"/>
      <c r="F50" s="79"/>
      <c r="G50" s="79"/>
      <c r="H50" s="79"/>
      <c r="I50" s="79"/>
    </row>
    <row r="51" spans="1:9">
      <c r="A51" s="10"/>
      <c r="B51" s="10"/>
      <c r="C51" s="12" t="s">
        <v>444</v>
      </c>
      <c r="D51" s="79">
        <f>HARMEAN(D14:D44)</f>
        <v>9.2125231382076719E-2</v>
      </c>
      <c r="E51" s="79"/>
      <c r="F51" s="79"/>
      <c r="G51" s="79"/>
      <c r="H51" s="79"/>
      <c r="I51" s="79"/>
    </row>
    <row r="52" spans="1:9" ht="15.75" thickBot="1">
      <c r="A52" s="10"/>
      <c r="B52" s="10"/>
      <c r="C52" s="10"/>
      <c r="D52" s="10" t="s">
        <v>196</v>
      </c>
      <c r="E52" s="10"/>
      <c r="F52" s="10"/>
      <c r="G52" s="10"/>
      <c r="H52" s="10"/>
      <c r="I52" s="10"/>
    </row>
    <row r="53" spans="1:9" ht="21" thickBot="1">
      <c r="A53" s="10"/>
      <c r="B53" s="10"/>
      <c r="C53" s="208" t="s">
        <v>252</v>
      </c>
      <c r="D53" s="461">
        <v>9.3600000000000003E-2</v>
      </c>
      <c r="E53" s="80"/>
      <c r="F53" s="80"/>
    </row>
    <row r="54" spans="1:9" ht="15.75">
      <c r="A54" s="102" t="s">
        <v>0</v>
      </c>
      <c r="B54" s="10"/>
      <c r="C54" s="10"/>
      <c r="D54" s="10"/>
      <c r="E54" s="10"/>
      <c r="F54" s="10"/>
      <c r="G54" s="10"/>
      <c r="H54" s="10"/>
      <c r="I54" s="10"/>
    </row>
    <row r="55" spans="1:9" ht="15.75">
      <c r="A55" s="102" t="s">
        <v>0</v>
      </c>
      <c r="B55" s="10"/>
      <c r="C55" s="10"/>
      <c r="D55" s="10"/>
      <c r="E55" s="10"/>
      <c r="F55" s="10"/>
      <c r="G55" s="10"/>
      <c r="H55" s="10"/>
      <c r="I55" s="10"/>
    </row>
    <row r="56" spans="1:9">
      <c r="A56" s="10"/>
      <c r="B56" s="10"/>
      <c r="C56" s="10"/>
      <c r="D56" s="10"/>
      <c r="E56" s="10"/>
      <c r="F56" s="10"/>
      <c r="G56" s="10"/>
      <c r="H56" s="10"/>
      <c r="I56" s="10"/>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t="s">
        <v>0</v>
      </c>
      <c r="E60" s="10"/>
      <c r="F60" s="10"/>
      <c r="G60" s="10"/>
      <c r="H60" s="10"/>
      <c r="I60" s="10"/>
    </row>
    <row r="61" spans="1:9">
      <c r="A61" s="10"/>
      <c r="B61" s="10"/>
      <c r="C61" s="10"/>
      <c r="D61" s="10" t="s">
        <v>0</v>
      </c>
      <c r="E61" s="10"/>
      <c r="F61" s="10"/>
      <c r="G61" s="10"/>
      <c r="H61" s="10"/>
      <c r="I61" s="10"/>
    </row>
    <row r="62" spans="1:9">
      <c r="A62" s="10"/>
      <c r="B62" s="10"/>
      <c r="C62" s="10"/>
      <c r="D62" s="10"/>
      <c r="E62" s="10"/>
      <c r="F62" s="10"/>
      <c r="G62" s="10"/>
      <c r="H62" s="10"/>
      <c r="I62" s="10"/>
    </row>
    <row r="63" spans="1:9">
      <c r="A63" s="10"/>
      <c r="B63" s="10"/>
      <c r="C63" s="10"/>
      <c r="D63" s="10"/>
      <c r="E63" s="10"/>
      <c r="F63" s="10"/>
      <c r="G63" s="10"/>
      <c r="H63" s="10"/>
      <c r="I63" s="10"/>
    </row>
    <row r="64" spans="1:9">
      <c r="A64" s="10"/>
      <c r="B64" s="10"/>
      <c r="C64" s="10"/>
      <c r="D64" s="10"/>
      <c r="E64" s="10"/>
      <c r="F64" s="10"/>
      <c r="G64" s="10"/>
      <c r="H64" s="10"/>
      <c r="I64" s="10"/>
    </row>
    <row r="65" spans="1:9">
      <c r="A65" s="10"/>
      <c r="B65" s="10"/>
      <c r="C65" s="10"/>
      <c r="D65" s="10"/>
      <c r="E65" s="10"/>
      <c r="F65" s="10"/>
      <c r="G65" s="10"/>
      <c r="H65" s="10"/>
      <c r="I65" s="10"/>
    </row>
    <row r="66" spans="1:9">
      <c r="A66" s="10"/>
      <c r="B66" s="10"/>
      <c r="C66" s="10"/>
      <c r="D66" s="10"/>
      <c r="E66" s="10"/>
      <c r="F66" s="10"/>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c r="B76" s="10"/>
      <c r="C76" s="10"/>
      <c r="D76" s="10"/>
      <c r="E76" s="10"/>
      <c r="F76" s="10"/>
      <c r="G76" s="10"/>
      <c r="H76" s="10"/>
      <c r="I76" s="10"/>
    </row>
    <row r="77" spans="1:9">
      <c r="A77" s="10"/>
      <c r="B77" s="10"/>
      <c r="C77" s="10"/>
      <c r="D77" s="10"/>
      <c r="E77" s="10"/>
      <c r="F77" s="10"/>
      <c r="G77" s="10"/>
      <c r="H77" s="10"/>
      <c r="I77" s="10"/>
    </row>
    <row r="78" spans="1:9">
      <c r="A78" s="10"/>
      <c r="B78" s="10"/>
      <c r="C78" s="10"/>
      <c r="D78" s="10"/>
      <c r="E78" s="10"/>
      <c r="F78" s="10"/>
      <c r="G78" s="10"/>
      <c r="H78" s="10"/>
      <c r="I78" s="10"/>
    </row>
    <row r="79" spans="1:9">
      <c r="A79" s="10"/>
      <c r="B79" s="10"/>
      <c r="C79" s="10"/>
      <c r="D79" s="10"/>
      <c r="E79" s="10"/>
      <c r="F79" s="10"/>
      <c r="G79" s="10"/>
      <c r="H79" s="10"/>
      <c r="I79" s="10"/>
    </row>
    <row r="80" spans="1:9">
      <c r="A80" s="10"/>
      <c r="B80" s="10"/>
      <c r="C80" s="10"/>
      <c r="D80" s="10"/>
      <c r="E80" s="10"/>
      <c r="F80" s="10"/>
      <c r="G80" s="10"/>
      <c r="H80" s="10"/>
      <c r="I80" s="10"/>
    </row>
    <row r="81" spans="1:9">
      <c r="A81" s="10"/>
      <c r="B81" s="10"/>
      <c r="C81" s="10"/>
      <c r="D81" s="10"/>
      <c r="E81" s="10"/>
      <c r="F81" s="10"/>
      <c r="G81" s="10"/>
      <c r="H81" s="10"/>
      <c r="I81" s="10"/>
    </row>
    <row r="82" spans="1:9">
      <c r="A82" s="10"/>
      <c r="B82" s="10"/>
      <c r="C82" s="10"/>
      <c r="D82" s="10"/>
      <c r="E82" s="10"/>
      <c r="F82" s="10"/>
      <c r="G82" s="10"/>
      <c r="H82" s="10"/>
      <c r="I82" s="10"/>
    </row>
    <row r="83" spans="1:9">
      <c r="A83" s="10"/>
      <c r="B83" s="10"/>
      <c r="C83" s="10"/>
      <c r="D83" s="10"/>
      <c r="E83" s="10"/>
      <c r="F83" s="10"/>
      <c r="G83" s="10"/>
      <c r="H83" s="10"/>
      <c r="I83" s="10"/>
    </row>
    <row r="84" spans="1:9">
      <c r="A84" s="10"/>
      <c r="B84" s="10"/>
      <c r="C84" s="10"/>
      <c r="D84" s="10"/>
      <c r="E84" s="10"/>
      <c r="F84" s="10"/>
      <c r="G84" s="10"/>
      <c r="H84" s="10"/>
      <c r="I84" s="10"/>
    </row>
    <row r="85" spans="1:9">
      <c r="A85" s="10"/>
      <c r="B85" s="10"/>
      <c r="C85" s="10"/>
      <c r="D85" s="10"/>
      <c r="E85" s="10"/>
      <c r="F85" s="10"/>
      <c r="G85" s="10"/>
      <c r="H85" s="10"/>
      <c r="I85" s="10"/>
    </row>
    <row r="86" spans="1:9">
      <c r="A86" s="10"/>
      <c r="B86" s="10"/>
      <c r="C86" s="10"/>
      <c r="D86" s="10"/>
      <c r="E86" s="10"/>
      <c r="F86" s="10"/>
      <c r="G86" s="10"/>
      <c r="H86" s="10"/>
      <c r="I86" s="10"/>
    </row>
    <row r="87" spans="1:9">
      <c r="A87" s="10"/>
      <c r="B87" s="10"/>
      <c r="C87" s="10"/>
      <c r="D87" s="10"/>
      <c r="E87" s="10"/>
      <c r="F87" s="10"/>
      <c r="G87" s="10"/>
      <c r="H87" s="10"/>
      <c r="I87" s="10"/>
    </row>
    <row r="88" spans="1:9">
      <c r="A88" s="10"/>
      <c r="B88" s="10"/>
      <c r="C88" s="10"/>
      <c r="D88" s="10"/>
      <c r="E88" s="10"/>
      <c r="F88" s="10"/>
      <c r="G88" s="10"/>
      <c r="H88" s="10"/>
      <c r="I88" s="10"/>
    </row>
    <row r="89" spans="1:9">
      <c r="A89" s="10"/>
      <c r="B89" s="10"/>
      <c r="C89" s="10"/>
      <c r="D89" s="10"/>
      <c r="E89" s="10"/>
      <c r="F89" s="10"/>
      <c r="G89" s="10"/>
      <c r="H89" s="10"/>
      <c r="I89" s="10"/>
    </row>
    <row r="90" spans="1:9">
      <c r="A90" s="10"/>
      <c r="B90" s="10"/>
      <c r="C90" s="10"/>
      <c r="D90" s="10"/>
      <c r="E90" s="10"/>
      <c r="F90" s="10"/>
      <c r="G90" s="10"/>
      <c r="H90" s="10"/>
      <c r="I90" s="10"/>
    </row>
    <row r="91" spans="1:9">
      <c r="A91" s="10"/>
      <c r="B91" s="10"/>
      <c r="C91" s="10"/>
      <c r="D91" s="10"/>
      <c r="E91" s="10"/>
      <c r="F91" s="10"/>
      <c r="G91" s="10"/>
      <c r="H91" s="10"/>
      <c r="I91" s="10"/>
    </row>
    <row r="92" spans="1:9">
      <c r="A92" s="10"/>
      <c r="B92" s="10"/>
      <c r="C92" s="10"/>
      <c r="D92" s="10"/>
      <c r="E92" s="10"/>
      <c r="F92" s="10"/>
      <c r="G92" s="10"/>
      <c r="H92" s="10"/>
      <c r="I92" s="10"/>
    </row>
    <row r="93" spans="1:9">
      <c r="A93" s="10"/>
      <c r="B93" s="10"/>
      <c r="C93" s="10"/>
      <c r="D93" s="10"/>
      <c r="E93" s="10"/>
      <c r="F93" s="10"/>
      <c r="G93" s="10"/>
      <c r="H93" s="10"/>
      <c r="I93" s="10"/>
    </row>
    <row r="94" spans="1:9">
      <c r="A94" s="10"/>
      <c r="B94" s="10"/>
      <c r="C94" s="10"/>
      <c r="D94" s="10"/>
      <c r="E94" s="10"/>
      <c r="F94" s="10"/>
      <c r="G94" s="10"/>
      <c r="H94" s="10"/>
      <c r="I94" s="10"/>
    </row>
    <row r="95" spans="1:9">
      <c r="A95" s="10"/>
      <c r="B95" s="10"/>
      <c r="C95" s="10"/>
      <c r="D95" s="10"/>
      <c r="E95" s="10"/>
      <c r="F95" s="10"/>
      <c r="G95" s="10"/>
      <c r="H95" s="10"/>
      <c r="I95" s="10"/>
    </row>
    <row r="96" spans="1:9">
      <c r="A96" s="10"/>
      <c r="B96" s="10"/>
      <c r="C96" s="10"/>
      <c r="D96" s="10"/>
      <c r="E96" s="10"/>
      <c r="F96" s="10"/>
      <c r="G96" s="10"/>
      <c r="H96" s="10"/>
      <c r="I96" s="10"/>
    </row>
    <row r="97" spans="1:9">
      <c r="A97" s="10"/>
      <c r="B97" s="10"/>
      <c r="C97" s="10"/>
      <c r="D97" s="10"/>
      <c r="E97" s="10"/>
      <c r="F97" s="10"/>
      <c r="G97" s="10"/>
      <c r="H97" s="10"/>
      <c r="I97" s="10"/>
    </row>
    <row r="98" spans="1:9">
      <c r="A98" s="10"/>
      <c r="B98" s="10"/>
      <c r="C98" s="10"/>
      <c r="D98" s="10"/>
      <c r="E98" s="10"/>
      <c r="F98" s="10"/>
      <c r="G98" s="10"/>
      <c r="H98" s="10"/>
      <c r="I98" s="10"/>
    </row>
    <row r="99" spans="1:9">
      <c r="A99" s="10"/>
      <c r="B99" s="10"/>
      <c r="C99" s="10"/>
      <c r="D99" s="10"/>
      <c r="E99" s="10"/>
      <c r="F99" s="10"/>
      <c r="G99" s="10"/>
      <c r="H99" s="10"/>
      <c r="I99" s="10"/>
    </row>
    <row r="100" spans="1:9">
      <c r="A100" s="10"/>
      <c r="B100" s="10"/>
      <c r="C100" s="10"/>
      <c r="D100" s="10"/>
      <c r="E100" s="10"/>
      <c r="F100" s="10"/>
      <c r="G100" s="10"/>
      <c r="H100" s="10"/>
      <c r="I100" s="10"/>
    </row>
    <row r="101" spans="1:9">
      <c r="A101" s="10"/>
      <c r="B101" s="10"/>
      <c r="C101" s="10"/>
      <c r="D101" s="10"/>
      <c r="E101" s="10"/>
      <c r="F101" s="10"/>
      <c r="G101" s="10"/>
      <c r="H101" s="10"/>
      <c r="I101" s="10"/>
    </row>
    <row r="102" spans="1:9">
      <c r="A102" s="10"/>
      <c r="B102" s="10"/>
      <c r="C102" s="10"/>
      <c r="D102" s="10"/>
      <c r="E102" s="10"/>
      <c r="F102" s="10"/>
      <c r="G102" s="10"/>
      <c r="H102" s="10"/>
      <c r="I102" s="10"/>
    </row>
    <row r="103" spans="1:9">
      <c r="A103" s="10"/>
      <c r="B103" s="10"/>
      <c r="C103" s="10"/>
      <c r="D103" s="10"/>
      <c r="E103" s="10"/>
      <c r="F103" s="10"/>
      <c r="G103" s="10"/>
      <c r="H103" s="10"/>
      <c r="I103" s="10"/>
    </row>
    <row r="104" spans="1:9">
      <c r="A104" s="10"/>
      <c r="B104" s="10"/>
      <c r="C104" s="10"/>
      <c r="D104" s="10"/>
      <c r="E104" s="10"/>
      <c r="F104" s="10"/>
      <c r="G104" s="10"/>
      <c r="H104" s="10"/>
      <c r="I104" s="10"/>
    </row>
    <row r="105" spans="1:9">
      <c r="A105" s="10"/>
      <c r="B105" s="10"/>
      <c r="C105" s="10"/>
      <c r="D105" s="10"/>
      <c r="E105" s="10"/>
      <c r="F105" s="10"/>
      <c r="G105" s="10"/>
      <c r="H105" s="10"/>
      <c r="I105" s="10"/>
    </row>
    <row r="106" spans="1:9">
      <c r="A106" s="10"/>
      <c r="B106" s="10"/>
      <c r="C106" s="10"/>
      <c r="D106" s="10"/>
      <c r="E106" s="10"/>
      <c r="F106" s="10"/>
      <c r="G106" s="10"/>
      <c r="H106" s="10"/>
      <c r="I106" s="10"/>
    </row>
  </sheetData>
  <pageMargins left="0.25" right="0.25" top="0.75" bottom="0.75" header="0.3" footer="0.3"/>
  <pageSetup scale="4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730FF-5535-41D1-98A4-3D0EAA106D41}">
  <sheetPr>
    <tabColor rgb="FF92D050"/>
    <pageSetUpPr fitToPage="1"/>
  </sheetPr>
  <dimension ref="A1:J84"/>
  <sheetViews>
    <sheetView view="pageBreakPreview" topLeftCell="A7" zoomScale="60" zoomScaleNormal="80" workbookViewId="0">
      <selection activeCell="B17" sqref="B17"/>
    </sheetView>
  </sheetViews>
  <sheetFormatPr defaultRowHeight="15"/>
  <cols>
    <col min="1" max="1" width="74.5703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1" t="s">
        <v>1</v>
      </c>
      <c r="B1" s="21"/>
      <c r="C1" s="21"/>
      <c r="D1" s="10"/>
      <c r="E1" s="10"/>
      <c r="F1" s="10"/>
      <c r="G1" s="10"/>
      <c r="H1" s="10"/>
      <c r="I1" s="10"/>
      <c r="J1" s="10"/>
    </row>
    <row r="2" spans="1:10" ht="15.75">
      <c r="A2" s="22" t="s">
        <v>9</v>
      </c>
      <c r="B2" s="22"/>
      <c r="C2" s="22"/>
      <c r="D2" s="10"/>
      <c r="E2" s="10"/>
      <c r="F2" s="10"/>
      <c r="G2" s="10"/>
      <c r="H2" s="10"/>
      <c r="I2" s="10"/>
      <c r="J2" s="10"/>
    </row>
    <row r="3" spans="1:10">
      <c r="A3" s="23" t="s">
        <v>62</v>
      </c>
      <c r="B3" s="23"/>
      <c r="C3" s="23"/>
      <c r="D3" s="10"/>
      <c r="E3" s="10"/>
      <c r="F3" s="10"/>
      <c r="G3" s="10"/>
      <c r="H3" s="10"/>
      <c r="I3" s="10"/>
      <c r="J3" s="10"/>
    </row>
    <row r="4" spans="1:10">
      <c r="A4" s="23"/>
      <c r="B4" s="23"/>
      <c r="C4" s="23"/>
      <c r="D4" s="10"/>
      <c r="E4" s="10"/>
      <c r="F4" s="10"/>
      <c r="G4" s="10"/>
      <c r="H4" s="10"/>
      <c r="I4" s="10"/>
      <c r="J4" s="10"/>
    </row>
    <row r="5" spans="1:10" ht="15.75" thickBot="1">
      <c r="A5" s="10"/>
      <c r="B5" s="10"/>
      <c r="C5" s="10"/>
      <c r="D5" s="10"/>
      <c r="E5" s="10"/>
      <c r="F5" s="10"/>
      <c r="G5" s="10"/>
      <c r="H5" s="24" t="s">
        <v>0</v>
      </c>
      <c r="I5" s="24"/>
      <c r="J5" s="10"/>
    </row>
    <row r="6" spans="1:10" ht="18.75" thickBot="1">
      <c r="A6" s="25" t="str">
        <f>+'S&amp;D'!A12</f>
        <v>Air Freight Carriers</v>
      </c>
      <c r="B6" s="10"/>
      <c r="C6" s="10"/>
      <c r="D6" s="26"/>
      <c r="E6" s="26"/>
      <c r="F6" s="26"/>
      <c r="G6" s="10"/>
      <c r="H6" s="10"/>
      <c r="I6" s="10"/>
      <c r="J6" s="10"/>
    </row>
    <row r="7" spans="1:10" ht="20.25">
      <c r="B7" s="28"/>
      <c r="C7" s="28"/>
      <c r="D7" s="10"/>
      <c r="E7" s="29" t="s">
        <v>213</v>
      </c>
      <c r="F7" s="10"/>
      <c r="G7" s="10"/>
      <c r="H7" s="10"/>
      <c r="I7" s="10"/>
      <c r="J7" s="10"/>
    </row>
    <row r="8" spans="1:10" ht="18.75" thickBot="1">
      <c r="A8" s="28"/>
      <c r="B8" s="28"/>
      <c r="C8" s="28"/>
      <c r="D8" s="26"/>
      <c r="E8" s="34" t="s">
        <v>76</v>
      </c>
      <c r="F8" s="26"/>
      <c r="G8" s="10"/>
      <c r="H8" s="10"/>
      <c r="I8" s="10"/>
      <c r="J8" s="10"/>
    </row>
    <row r="9" spans="1:10" ht="18">
      <c r="A9" s="28"/>
      <c r="B9" s="28"/>
      <c r="C9" s="28"/>
      <c r="D9" s="10"/>
      <c r="E9" s="32"/>
      <c r="F9" s="10"/>
      <c r="G9" s="10"/>
      <c r="H9" s="10"/>
      <c r="I9" s="10"/>
      <c r="J9" s="10"/>
    </row>
    <row r="10" spans="1:10" ht="18">
      <c r="A10" s="28"/>
      <c r="B10" s="28"/>
      <c r="H10" s="10"/>
      <c r="I10" s="10"/>
      <c r="J10" s="10"/>
    </row>
    <row r="11" spans="1:10" ht="18">
      <c r="A11" s="28"/>
      <c r="B11" s="28"/>
      <c r="H11" s="10"/>
      <c r="I11" s="10"/>
      <c r="J11" s="10"/>
    </row>
    <row r="12" spans="1:10" ht="30" customHeight="1" thickBot="1">
      <c r="A12" s="28"/>
      <c r="B12" s="28"/>
      <c r="C12" t="s">
        <v>0</v>
      </c>
      <c r="H12" s="10"/>
      <c r="I12" s="10"/>
      <c r="J12" s="10"/>
    </row>
    <row r="13" spans="1:10" ht="26.25" customHeight="1" thickBot="1">
      <c r="A13" s="162" t="s">
        <v>230</v>
      </c>
      <c r="B13" s="10" t="s">
        <v>0</v>
      </c>
      <c r="C13" s="10"/>
      <c r="D13" s="10"/>
      <c r="E13" s="10"/>
      <c r="F13" s="10"/>
      <c r="G13" s="10"/>
      <c r="H13" s="10"/>
      <c r="I13" s="10"/>
      <c r="J13" s="10"/>
    </row>
    <row r="14" spans="1:10" ht="42" customHeight="1" thickBot="1">
      <c r="A14" s="161" t="s">
        <v>228</v>
      </c>
      <c r="B14" s="160" t="s">
        <v>219</v>
      </c>
      <c r="C14" s="159" t="s">
        <v>231</v>
      </c>
      <c r="D14" s="160" t="s">
        <v>221</v>
      </c>
      <c r="E14" s="160" t="s">
        <v>434</v>
      </c>
      <c r="F14" s="158" t="s">
        <v>220</v>
      </c>
      <c r="G14" s="10"/>
      <c r="H14" s="10"/>
      <c r="I14" s="10"/>
      <c r="J14" s="10"/>
    </row>
    <row r="15" spans="1:10">
      <c r="A15" s="155"/>
      <c r="B15" s="108"/>
      <c r="C15" s="108"/>
      <c r="D15" s="108"/>
      <c r="E15" s="108"/>
      <c r="F15" s="156"/>
      <c r="G15" s="10"/>
      <c r="H15" s="10"/>
      <c r="I15" s="10"/>
      <c r="J15" s="10"/>
    </row>
    <row r="16" spans="1:10" ht="15.75">
      <c r="A16" s="201" t="s">
        <v>436</v>
      </c>
      <c r="B16" s="214">
        <v>3.3799999999999997E-2</v>
      </c>
      <c r="C16" s="211">
        <f>+'Beta for CAPM'!I28</f>
        <v>0.88</v>
      </c>
      <c r="D16" s="202">
        <f>+B16*C16</f>
        <v>2.9743999999999996E-2</v>
      </c>
      <c r="E16" s="202">
        <f>+'Growth &amp; Inflation Rates'!F93</f>
        <v>4.1419999999999998E-2</v>
      </c>
      <c r="F16" s="203">
        <f>+D16+E16</f>
        <v>7.1163999999999991E-2</v>
      </c>
      <c r="G16" s="10"/>
      <c r="H16" s="10"/>
      <c r="I16" s="10"/>
      <c r="J16" s="10"/>
    </row>
    <row r="17" spans="1:10" ht="15.75">
      <c r="A17" s="201" t="s">
        <v>437</v>
      </c>
      <c r="B17" s="214">
        <v>4.6699999999999998E-2</v>
      </c>
      <c r="C17" s="211">
        <f>+C16</f>
        <v>0.88</v>
      </c>
      <c r="D17" s="202">
        <f>+B17*C17</f>
        <v>4.1096000000000001E-2</v>
      </c>
      <c r="E17" s="202">
        <f>+E16</f>
        <v>4.1419999999999998E-2</v>
      </c>
      <c r="F17" s="203">
        <f>+D17+E17</f>
        <v>8.2516000000000006E-2</v>
      </c>
      <c r="G17" s="10"/>
      <c r="H17" s="10"/>
      <c r="I17" s="10"/>
      <c r="J17" s="10"/>
    </row>
    <row r="18" spans="1:10" ht="15.75">
      <c r="A18" s="204"/>
      <c r="B18" s="102"/>
      <c r="C18" s="102"/>
      <c r="D18" s="102"/>
      <c r="E18" s="102"/>
      <c r="F18" s="205"/>
      <c r="G18" s="10"/>
      <c r="H18" s="10"/>
      <c r="I18" s="10"/>
      <c r="J18" s="10"/>
    </row>
    <row r="19" spans="1:10" ht="15.75">
      <c r="A19" s="201" t="s">
        <v>460</v>
      </c>
      <c r="B19" s="214">
        <v>5.9400000000000001E-2</v>
      </c>
      <c r="C19" s="211">
        <f>+C16</f>
        <v>0.88</v>
      </c>
      <c r="D19" s="202">
        <f>+B19*C19</f>
        <v>5.2271999999999999E-2</v>
      </c>
      <c r="E19" s="202">
        <f>+E16</f>
        <v>4.1419999999999998E-2</v>
      </c>
      <c r="F19" s="203">
        <f>+D19+E19</f>
        <v>9.3691999999999998E-2</v>
      </c>
      <c r="G19" s="10"/>
      <c r="H19" s="10"/>
      <c r="I19" s="10"/>
      <c r="J19" s="10"/>
    </row>
    <row r="20" spans="1:10" ht="15.75">
      <c r="A20" s="201" t="s">
        <v>479</v>
      </c>
      <c r="B20" s="214">
        <v>5.8500000000000003E-2</v>
      </c>
      <c r="C20" s="211">
        <f>+C16</f>
        <v>0.88</v>
      </c>
      <c r="D20" s="202">
        <f>+B20*C20</f>
        <v>5.1480000000000005E-2</v>
      </c>
      <c r="E20" s="202">
        <f>+E17</f>
        <v>4.1419999999999998E-2</v>
      </c>
      <c r="F20" s="203">
        <f>+D20+E20</f>
        <v>9.290000000000001E-2</v>
      </c>
      <c r="G20" s="10"/>
      <c r="H20" s="10"/>
      <c r="I20" s="10"/>
      <c r="J20" s="10"/>
    </row>
    <row r="21" spans="1:10" ht="15.75">
      <c r="A21" s="201" t="s">
        <v>461</v>
      </c>
      <c r="B21" s="214">
        <v>5.6800000000000003E-2</v>
      </c>
      <c r="C21" s="211">
        <f>+C16</f>
        <v>0.88</v>
      </c>
      <c r="D21" s="202">
        <f>+B21*C21</f>
        <v>4.9984000000000001E-2</v>
      </c>
      <c r="E21" s="202">
        <f>+E16</f>
        <v>4.1419999999999998E-2</v>
      </c>
      <c r="F21" s="203">
        <f>+D21+E21</f>
        <v>9.1403999999999999E-2</v>
      </c>
      <c r="G21" s="10"/>
      <c r="H21" s="10"/>
      <c r="I21" s="10"/>
      <c r="J21" s="10"/>
    </row>
    <row r="22" spans="1:10" ht="15.75">
      <c r="A22" s="201" t="s">
        <v>462</v>
      </c>
      <c r="B22" s="214">
        <v>4.8300000000000003E-2</v>
      </c>
      <c r="C22" s="211">
        <f>+C16</f>
        <v>0.88</v>
      </c>
      <c r="D22" s="202">
        <f>+B22*C22</f>
        <v>4.2504E-2</v>
      </c>
      <c r="E22" s="202">
        <f>+E16</f>
        <v>4.1419999999999998E-2</v>
      </c>
      <c r="F22" s="203">
        <f>+D22+E22</f>
        <v>8.3923999999999999E-2</v>
      </c>
      <c r="G22" s="10"/>
      <c r="H22" s="10"/>
      <c r="I22" s="10"/>
      <c r="J22" s="10"/>
    </row>
    <row r="23" spans="1:10" ht="15.75">
      <c r="A23" s="201" t="s">
        <v>0</v>
      </c>
      <c r="B23" s="214" t="s">
        <v>0</v>
      </c>
      <c r="C23" s="212" t="s">
        <v>0</v>
      </c>
      <c r="D23" s="202" t="s">
        <v>0</v>
      </c>
      <c r="E23" s="202" t="s">
        <v>0</v>
      </c>
      <c r="F23" s="203" t="s">
        <v>0</v>
      </c>
      <c r="G23" s="10"/>
      <c r="H23" s="10"/>
      <c r="I23" s="10"/>
      <c r="J23" s="10"/>
    </row>
    <row r="24" spans="1:10" ht="15.75">
      <c r="A24" s="201" t="s">
        <v>224</v>
      </c>
      <c r="B24" s="214">
        <v>4.6199999999999998E-2</v>
      </c>
      <c r="C24" s="211">
        <f>+C16</f>
        <v>0.88</v>
      </c>
      <c r="D24" s="202">
        <f>+B24*C24</f>
        <v>4.0655999999999998E-2</v>
      </c>
      <c r="E24" s="202">
        <f>+E16</f>
        <v>4.1419999999999998E-2</v>
      </c>
      <c r="F24" s="203">
        <f>+D24+E24</f>
        <v>8.2075999999999996E-2</v>
      </c>
      <c r="G24" s="10"/>
      <c r="H24" s="10"/>
      <c r="I24" s="10"/>
      <c r="J24" s="10"/>
    </row>
    <row r="25" spans="1:10" ht="15.75">
      <c r="A25" s="201" t="s">
        <v>0</v>
      </c>
      <c r="B25" s="214" t="s">
        <v>0</v>
      </c>
      <c r="C25" s="212" t="s">
        <v>0</v>
      </c>
      <c r="D25" s="202" t="s">
        <v>0</v>
      </c>
      <c r="E25" s="202" t="s">
        <v>0</v>
      </c>
      <c r="F25" s="203" t="s">
        <v>0</v>
      </c>
      <c r="G25" s="10"/>
      <c r="H25" s="10"/>
      <c r="I25" s="10"/>
      <c r="J25" s="10"/>
    </row>
    <row r="26" spans="1:10" ht="15.75">
      <c r="A26" s="201" t="s">
        <v>480</v>
      </c>
      <c r="B26" s="214">
        <v>5.6000000000000001E-2</v>
      </c>
      <c r="C26" s="211">
        <f>+C16</f>
        <v>0.88</v>
      </c>
      <c r="D26" s="202">
        <f>+B26*C26</f>
        <v>4.9280000000000004E-2</v>
      </c>
      <c r="E26" s="202">
        <f>+E16</f>
        <v>4.1419999999999998E-2</v>
      </c>
      <c r="F26" s="203">
        <f>+D26+E26</f>
        <v>9.0700000000000003E-2</v>
      </c>
      <c r="G26" s="10"/>
      <c r="H26" s="10"/>
      <c r="I26" s="10"/>
      <c r="J26" s="10"/>
    </row>
    <row r="27" spans="1:10" ht="15.75">
      <c r="A27" s="201" t="s">
        <v>0</v>
      </c>
      <c r="B27" s="214" t="s">
        <v>0</v>
      </c>
      <c r="C27" s="212" t="s">
        <v>0</v>
      </c>
      <c r="D27" s="202" t="s">
        <v>0</v>
      </c>
      <c r="E27" s="202" t="s">
        <v>0</v>
      </c>
      <c r="F27" s="203" t="s">
        <v>0</v>
      </c>
      <c r="G27" s="10"/>
      <c r="H27" s="10"/>
      <c r="I27" s="10"/>
      <c r="J27" s="10"/>
    </row>
    <row r="28" spans="1:10" ht="15.75">
      <c r="A28" s="201" t="s">
        <v>225</v>
      </c>
      <c r="B28" s="214">
        <v>6.2799999999999995E-2</v>
      </c>
      <c r="C28" s="211">
        <f>+C16</f>
        <v>0.88</v>
      </c>
      <c r="D28" s="202">
        <f>+B28*C28</f>
        <v>5.5263999999999994E-2</v>
      </c>
      <c r="E28" s="202">
        <f>+E16</f>
        <v>4.1419999999999998E-2</v>
      </c>
      <c r="F28" s="203">
        <f>+D28+E28</f>
        <v>9.6683999999999992E-2</v>
      </c>
      <c r="G28" s="10"/>
      <c r="H28" s="10"/>
      <c r="I28" s="10"/>
      <c r="J28" s="10"/>
    </row>
    <row r="29" spans="1:10" ht="15.75">
      <c r="A29" s="201" t="s">
        <v>226</v>
      </c>
      <c r="B29" s="214">
        <v>5.0099999999999999E-2</v>
      </c>
      <c r="C29" s="211">
        <f>+C16</f>
        <v>0.88</v>
      </c>
      <c r="D29" s="202">
        <f>+B29*C29</f>
        <v>4.4088000000000002E-2</v>
      </c>
      <c r="E29" s="202">
        <f>+E16</f>
        <v>4.1419999999999998E-2</v>
      </c>
      <c r="F29" s="203">
        <f>+D29+E29</f>
        <v>8.5508000000000001E-2</v>
      </c>
      <c r="G29" s="10"/>
      <c r="H29" s="10"/>
      <c r="I29" s="10"/>
      <c r="J29" s="10"/>
    </row>
    <row r="30" spans="1:10" ht="15.75">
      <c r="A30" s="201"/>
      <c r="B30" s="214"/>
      <c r="C30" s="211"/>
      <c r="D30" s="202"/>
      <c r="E30" s="202"/>
      <c r="F30" s="203"/>
      <c r="G30" s="10"/>
      <c r="H30" s="10"/>
      <c r="I30" s="10"/>
      <c r="J30" s="10"/>
    </row>
    <row r="31" spans="1:10" ht="15.75">
      <c r="A31" s="201" t="s">
        <v>463</v>
      </c>
      <c r="B31" s="214">
        <v>7.17E-2</v>
      </c>
      <c r="C31" s="211">
        <f>+C16</f>
        <v>0.88</v>
      </c>
      <c r="D31" s="202">
        <f>+B31*C31</f>
        <v>6.3095999999999999E-2</v>
      </c>
      <c r="E31" s="202">
        <f>+E16</f>
        <v>4.1419999999999998E-2</v>
      </c>
      <c r="F31" s="203">
        <f>+D31+E31</f>
        <v>0.104516</v>
      </c>
      <c r="G31" s="10"/>
      <c r="H31" s="10"/>
      <c r="I31" s="10"/>
      <c r="J31" s="10"/>
    </row>
    <row r="32" spans="1:10" ht="15.75">
      <c r="A32" s="201" t="s">
        <v>464</v>
      </c>
      <c r="B32" s="214">
        <v>6.3500000000000001E-2</v>
      </c>
      <c r="C32" s="211">
        <f>+C17</f>
        <v>0.88</v>
      </c>
      <c r="D32" s="202">
        <f>+B32*C32</f>
        <v>5.5879999999999999E-2</v>
      </c>
      <c r="E32" s="202">
        <f>+E17</f>
        <v>4.1419999999999998E-2</v>
      </c>
      <c r="F32" s="203">
        <f>+D32+E32</f>
        <v>9.7299999999999998E-2</v>
      </c>
      <c r="G32" s="10"/>
      <c r="H32" s="10"/>
      <c r="I32" s="10"/>
      <c r="J32" s="10"/>
    </row>
    <row r="33" spans="1:10" ht="15.75">
      <c r="A33" s="201" t="s">
        <v>465</v>
      </c>
      <c r="B33" s="214">
        <v>0.06</v>
      </c>
      <c r="C33" s="211">
        <f>+C16</f>
        <v>0.88</v>
      </c>
      <c r="D33" s="202">
        <f>+B33*C33</f>
        <v>5.28E-2</v>
      </c>
      <c r="E33" s="202">
        <f>+E16</f>
        <v>4.1419999999999998E-2</v>
      </c>
      <c r="F33" s="203">
        <f>+D33+E33</f>
        <v>9.4219999999999998E-2</v>
      </c>
      <c r="G33" s="10"/>
      <c r="H33" s="10"/>
      <c r="I33" s="10"/>
      <c r="J33" s="10"/>
    </row>
    <row r="34" spans="1:10" ht="15.75">
      <c r="A34" s="201"/>
      <c r="B34" s="214"/>
      <c r="C34" s="211"/>
      <c r="D34" s="202"/>
      <c r="E34" s="202"/>
      <c r="F34" s="203"/>
      <c r="G34" s="10"/>
      <c r="H34" s="10"/>
      <c r="I34" s="10"/>
      <c r="J34" s="10"/>
    </row>
    <row r="35" spans="1:10" ht="15.75">
      <c r="A35" s="201" t="s">
        <v>449</v>
      </c>
      <c r="B35" s="214">
        <v>0.06</v>
      </c>
      <c r="C35" s="211">
        <f>+C16</f>
        <v>0.88</v>
      </c>
      <c r="D35" s="202">
        <f>+B35*C35</f>
        <v>5.28E-2</v>
      </c>
      <c r="E35" s="202">
        <f>+E16</f>
        <v>4.1419999999999998E-2</v>
      </c>
      <c r="F35" s="203">
        <f>+D35+E35</f>
        <v>9.4219999999999998E-2</v>
      </c>
      <c r="G35" s="10"/>
      <c r="H35" s="10"/>
      <c r="I35" s="10"/>
      <c r="J35" s="10"/>
    </row>
    <row r="36" spans="1:10" ht="15.75" thickBot="1">
      <c r="A36" s="436"/>
      <c r="B36" s="26"/>
      <c r="C36" s="26"/>
      <c r="D36" s="26"/>
      <c r="E36" s="26"/>
      <c r="F36" s="437"/>
      <c r="G36" s="10"/>
      <c r="H36" s="10"/>
      <c r="I36" s="10"/>
      <c r="J36" s="10"/>
    </row>
    <row r="37" spans="1:10">
      <c r="A37" s="10"/>
      <c r="B37" s="10"/>
      <c r="C37" s="10"/>
      <c r="D37" s="10"/>
      <c r="E37" s="10"/>
      <c r="F37" s="10"/>
      <c r="G37" s="10"/>
      <c r="H37" s="10"/>
      <c r="I37" s="10"/>
      <c r="J37" s="10"/>
    </row>
    <row r="38" spans="1:10" ht="27" customHeight="1" thickBot="1">
      <c r="A38" s="10"/>
      <c r="B38" s="10"/>
      <c r="C38" s="10"/>
      <c r="D38" s="10"/>
      <c r="E38" s="10"/>
      <c r="F38" s="10"/>
      <c r="G38" s="10" t="s">
        <v>0</v>
      </c>
      <c r="H38" s="10"/>
      <c r="I38" s="10"/>
      <c r="J38" s="10"/>
    </row>
    <row r="39" spans="1:10" ht="16.5" thickBot="1">
      <c r="A39" s="162" t="s">
        <v>229</v>
      </c>
      <c r="B39" s="10"/>
      <c r="C39" s="10"/>
      <c r="D39" s="10"/>
      <c r="E39" s="10"/>
      <c r="F39" s="10"/>
      <c r="G39" s="10"/>
      <c r="H39" s="10"/>
      <c r="I39" s="10"/>
      <c r="J39" s="10"/>
    </row>
    <row r="40" spans="1:10" ht="36.75" thickBot="1">
      <c r="A40" s="161" t="s">
        <v>227</v>
      </c>
      <c r="B40" s="160" t="s">
        <v>219</v>
      </c>
      <c r="C40" s="159" t="s">
        <v>231</v>
      </c>
      <c r="D40" s="160" t="s">
        <v>222</v>
      </c>
      <c r="E40" s="160" t="s">
        <v>223</v>
      </c>
      <c r="F40" s="160" t="s">
        <v>434</v>
      </c>
      <c r="G40" s="158" t="s">
        <v>220</v>
      </c>
      <c r="H40" s="10"/>
      <c r="I40" s="10"/>
      <c r="J40" s="10"/>
    </row>
    <row r="41" spans="1:10">
      <c r="A41" s="155"/>
      <c r="B41" s="108"/>
      <c r="C41" s="108"/>
      <c r="D41" s="108"/>
      <c r="E41" s="108"/>
      <c r="F41" s="108"/>
      <c r="G41" s="156"/>
      <c r="H41" s="10"/>
      <c r="I41" s="10"/>
      <c r="J41" s="10"/>
    </row>
    <row r="42" spans="1:10" ht="15.75">
      <c r="A42" s="201" t="s">
        <v>436</v>
      </c>
      <c r="B42" s="214">
        <f>+B16</f>
        <v>3.3799999999999997E-2</v>
      </c>
      <c r="C42" s="210">
        <f>+C16</f>
        <v>0.88</v>
      </c>
      <c r="D42" s="202">
        <f>+B42*C42*0.75</f>
        <v>2.2307999999999998E-2</v>
      </c>
      <c r="E42" s="214">
        <f>+B42*0.25</f>
        <v>8.4499999999999992E-3</v>
      </c>
      <c r="F42" s="202">
        <f>+E16</f>
        <v>4.1419999999999998E-2</v>
      </c>
      <c r="G42" s="203">
        <f>+D42+E42+F42</f>
        <v>7.2177999999999992E-2</v>
      </c>
      <c r="H42" s="10"/>
      <c r="I42" s="10"/>
      <c r="J42" s="10"/>
    </row>
    <row r="43" spans="1:10" ht="15.75">
      <c r="A43" s="201" t="s">
        <v>437</v>
      </c>
      <c r="B43" s="214">
        <f>+B17</f>
        <v>4.6699999999999998E-2</v>
      </c>
      <c r="C43" s="210">
        <f>+C17</f>
        <v>0.88</v>
      </c>
      <c r="D43" s="202">
        <f>+B43*C43*0.75</f>
        <v>3.0822000000000002E-2</v>
      </c>
      <c r="E43" s="214">
        <f>+B43*0.25</f>
        <v>1.1675E-2</v>
      </c>
      <c r="F43" s="202">
        <f>+E17</f>
        <v>4.1419999999999998E-2</v>
      </c>
      <c r="G43" s="203">
        <f>+D43+E43+F43</f>
        <v>8.3916999999999992E-2</v>
      </c>
      <c r="H43" s="10"/>
      <c r="I43" s="10"/>
      <c r="J43" s="10"/>
    </row>
    <row r="44" spans="1:10" ht="15.75">
      <c r="A44" s="204"/>
      <c r="B44" s="102"/>
      <c r="C44" s="102"/>
      <c r="D44" s="102"/>
      <c r="E44" s="102"/>
      <c r="F44" s="102"/>
      <c r="G44" s="205"/>
      <c r="H44" s="10"/>
      <c r="I44" s="10"/>
      <c r="J44" s="10"/>
    </row>
    <row r="45" spans="1:10" ht="15.75">
      <c r="A45" s="201" t="str">
        <f t="shared" ref="A45:C46" si="0">+A19</f>
        <v>Damodaran Implied ERP Ex Ante   Trailing 12 mo Cash Yield (3)</v>
      </c>
      <c r="B45" s="214">
        <f t="shared" si="0"/>
        <v>5.9400000000000001E-2</v>
      </c>
      <c r="C45" s="210">
        <f t="shared" si="0"/>
        <v>0.88</v>
      </c>
      <c r="D45" s="202">
        <f>+B45*C45*0.75</f>
        <v>3.9204000000000003E-2</v>
      </c>
      <c r="E45" s="214">
        <f>+B45*0.25</f>
        <v>1.485E-2</v>
      </c>
      <c r="F45" s="202">
        <f>+E19</f>
        <v>4.1419999999999998E-2</v>
      </c>
      <c r="G45" s="203">
        <f>+D45+E45+F45</f>
        <v>9.5474000000000003E-2</v>
      </c>
      <c r="H45" s="10"/>
      <c r="I45" s="10"/>
      <c r="J45" s="10"/>
    </row>
    <row r="46" spans="1:10" ht="15.75">
      <c r="A46" s="201" t="str">
        <f t="shared" si="0"/>
        <v>Damodaran Implied ERP Ex Ante   Avg CF Yield Last 10 Yrs (3)</v>
      </c>
      <c r="B46" s="214">
        <f t="shared" si="0"/>
        <v>5.8500000000000003E-2</v>
      </c>
      <c r="C46" s="210">
        <f t="shared" si="0"/>
        <v>0.88</v>
      </c>
      <c r="D46" s="202">
        <f>+B46*C46*0.75</f>
        <v>3.8610000000000005E-2</v>
      </c>
      <c r="E46" s="214">
        <f>+B46*0.25</f>
        <v>1.4625000000000001E-2</v>
      </c>
      <c r="F46" s="202">
        <f>+E20</f>
        <v>4.1419999999999998E-2</v>
      </c>
      <c r="G46" s="203">
        <f>+D46+E46+F46</f>
        <v>9.4655000000000003E-2</v>
      </c>
      <c r="H46" s="10"/>
      <c r="I46" s="10"/>
      <c r="J46" s="10"/>
    </row>
    <row r="47" spans="1:10" ht="15.75">
      <c r="A47" s="201" t="str">
        <f t="shared" ref="A47:C48" si="1">+A21</f>
        <v>Damodaran Implied ERP Ex Ante   Net Cash Yield (3)</v>
      </c>
      <c r="B47" s="214">
        <f t="shared" si="1"/>
        <v>5.6800000000000003E-2</v>
      </c>
      <c r="C47" s="210">
        <f t="shared" si="1"/>
        <v>0.88</v>
      </c>
      <c r="D47" s="202">
        <f>+B47*C47*0.75</f>
        <v>3.7488E-2</v>
      </c>
      <c r="E47" s="214">
        <f>+B47*0.25</f>
        <v>1.4200000000000001E-2</v>
      </c>
      <c r="F47" s="202">
        <f>+E21</f>
        <v>4.1419999999999998E-2</v>
      </c>
      <c r="G47" s="203">
        <f>+D47+E47+F47</f>
        <v>9.3107999999999996E-2</v>
      </c>
      <c r="H47" s="10"/>
      <c r="I47" s="10"/>
      <c r="J47" s="10"/>
    </row>
    <row r="48" spans="1:10" ht="15.75">
      <c r="A48" s="201" t="str">
        <f t="shared" si="1"/>
        <v>Damodaran Implied ERP Ex Ante   Norm. Earnings &amp; Payout (3)</v>
      </c>
      <c r="B48" s="214">
        <f t="shared" si="1"/>
        <v>4.8300000000000003E-2</v>
      </c>
      <c r="C48" s="210">
        <f t="shared" si="1"/>
        <v>0.88</v>
      </c>
      <c r="D48" s="202">
        <f>+B48*C48*0.75</f>
        <v>3.1878000000000004E-2</v>
      </c>
      <c r="E48" s="214">
        <f>+B48*0.25</f>
        <v>1.2075000000000001E-2</v>
      </c>
      <c r="F48" s="202">
        <f>+E22</f>
        <v>4.1419999999999998E-2</v>
      </c>
      <c r="G48" s="203">
        <f>+D48+E48+F48</f>
        <v>8.5373000000000004E-2</v>
      </c>
      <c r="H48" s="10"/>
      <c r="I48" s="10"/>
      <c r="J48" s="10"/>
    </row>
    <row r="49" spans="1:10" ht="15.75">
      <c r="A49" s="201" t="s">
        <v>0</v>
      </c>
      <c r="B49" s="214" t="s">
        <v>0</v>
      </c>
      <c r="C49" s="202" t="s">
        <v>0</v>
      </c>
      <c r="D49" s="202" t="s">
        <v>0</v>
      </c>
      <c r="E49" s="214" t="s">
        <v>0</v>
      </c>
      <c r="F49" s="202" t="s">
        <v>0</v>
      </c>
      <c r="G49" s="203" t="s">
        <v>0</v>
      </c>
      <c r="H49" s="10"/>
      <c r="I49" s="10"/>
      <c r="J49" s="10"/>
    </row>
    <row r="50" spans="1:10" ht="15.75">
      <c r="A50" s="201" t="s">
        <v>224</v>
      </c>
      <c r="B50" s="214">
        <f>+B24</f>
        <v>4.6199999999999998E-2</v>
      </c>
      <c r="C50" s="210">
        <f>+C24</f>
        <v>0.88</v>
      </c>
      <c r="D50" s="202">
        <f>+B50*C50*0.75</f>
        <v>3.0491999999999998E-2</v>
      </c>
      <c r="E50" s="214">
        <f>+B50*0.25</f>
        <v>1.155E-2</v>
      </c>
      <c r="F50" s="202">
        <f>+E24</f>
        <v>4.1419999999999998E-2</v>
      </c>
      <c r="G50" s="203">
        <f>+D50+E50+F50</f>
        <v>8.3461999999999995E-2</v>
      </c>
    </row>
    <row r="51" spans="1:10" ht="15.75">
      <c r="A51" s="201" t="s">
        <v>0</v>
      </c>
      <c r="B51" s="214" t="s">
        <v>0</v>
      </c>
      <c r="C51" s="202" t="s">
        <v>0</v>
      </c>
      <c r="D51" s="202" t="s">
        <v>0</v>
      </c>
      <c r="E51" s="214" t="s">
        <v>0</v>
      </c>
      <c r="F51" s="202" t="s">
        <v>0</v>
      </c>
      <c r="G51" s="203" t="s">
        <v>0</v>
      </c>
    </row>
    <row r="52" spans="1:10" ht="15.75">
      <c r="A52" s="201" t="s">
        <v>480</v>
      </c>
      <c r="B52" s="214">
        <f>+B26</f>
        <v>5.6000000000000001E-2</v>
      </c>
      <c r="C52" s="210">
        <f>+C26</f>
        <v>0.88</v>
      </c>
      <c r="D52" s="202">
        <f>+B52*C52*0.75</f>
        <v>3.6960000000000007E-2</v>
      </c>
      <c r="E52" s="214">
        <f>+B52*0.25</f>
        <v>1.4E-2</v>
      </c>
      <c r="F52" s="202">
        <f>+E26</f>
        <v>4.1419999999999998E-2</v>
      </c>
      <c r="G52" s="203">
        <f>+D52+E52+F52</f>
        <v>9.2380000000000004E-2</v>
      </c>
    </row>
    <row r="53" spans="1:10" ht="15.75">
      <c r="A53" s="201" t="s">
        <v>0</v>
      </c>
      <c r="B53" s="214" t="s">
        <v>0</v>
      </c>
      <c r="C53" s="202" t="s">
        <v>0</v>
      </c>
      <c r="D53" s="202" t="s">
        <v>0</v>
      </c>
      <c r="E53" s="214" t="s">
        <v>0</v>
      </c>
      <c r="F53" s="202" t="s">
        <v>0</v>
      </c>
      <c r="G53" s="203" t="s">
        <v>0</v>
      </c>
    </row>
    <row r="54" spans="1:10" ht="15.75">
      <c r="A54" s="201" t="s">
        <v>225</v>
      </c>
      <c r="B54" s="214">
        <f>+B28</f>
        <v>6.2799999999999995E-2</v>
      </c>
      <c r="C54" s="210">
        <f>+C28</f>
        <v>0.88</v>
      </c>
      <c r="D54" s="202">
        <f>+B54*C54*0.75</f>
        <v>4.1447999999999999E-2</v>
      </c>
      <c r="E54" s="214">
        <f>+B54*0.25</f>
        <v>1.5699999999999999E-2</v>
      </c>
      <c r="F54" s="202">
        <f>+E28</f>
        <v>4.1419999999999998E-2</v>
      </c>
      <c r="G54" s="203">
        <f>+D54+E54+F54</f>
        <v>9.8567999999999989E-2</v>
      </c>
    </row>
    <row r="55" spans="1:10" ht="15.75">
      <c r="A55" s="201" t="s">
        <v>226</v>
      </c>
      <c r="B55" s="214">
        <f>+B29</f>
        <v>5.0099999999999999E-2</v>
      </c>
      <c r="C55" s="210">
        <f>+C29</f>
        <v>0.88</v>
      </c>
      <c r="D55" s="202">
        <f>+B55*C55*0.75</f>
        <v>3.3065999999999998E-2</v>
      </c>
      <c r="E55" s="214">
        <f>+B55*0.25</f>
        <v>1.2525E-2</v>
      </c>
      <c r="F55" s="202">
        <f>+E29</f>
        <v>4.1419999999999998E-2</v>
      </c>
      <c r="G55" s="203">
        <f>+D55+E55+F55</f>
        <v>8.7011000000000005E-2</v>
      </c>
    </row>
    <row r="56" spans="1:10" ht="15.75">
      <c r="A56" s="201"/>
      <c r="B56" s="214"/>
      <c r="C56" s="210"/>
      <c r="D56" s="202"/>
      <c r="E56" s="214"/>
      <c r="F56" s="202"/>
      <c r="G56" s="203"/>
    </row>
    <row r="57" spans="1:10" ht="15.75">
      <c r="A57" s="201" t="str">
        <f t="shared" ref="A57:C58" si="2">+A31</f>
        <v>KROLL Ex Post  - ERP Historical (8)</v>
      </c>
      <c r="B57" s="214">
        <f t="shared" si="2"/>
        <v>7.17E-2</v>
      </c>
      <c r="C57" s="210">
        <f t="shared" si="2"/>
        <v>0.88</v>
      </c>
      <c r="D57" s="202">
        <f>+B57*C57*0.75</f>
        <v>4.7322000000000003E-2</v>
      </c>
      <c r="E57" s="214">
        <f>+B57*0.25</f>
        <v>1.7925E-2</v>
      </c>
      <c r="F57" s="202">
        <f>+E31</f>
        <v>4.1419999999999998E-2</v>
      </c>
      <c r="G57" s="203">
        <f>+D57+E57+F57</f>
        <v>0.106667</v>
      </c>
    </row>
    <row r="58" spans="1:10" ht="15.75">
      <c r="A58" s="201" t="str">
        <f t="shared" si="2"/>
        <v>KROLL Ex Post - ERP Supply Side (8)</v>
      </c>
      <c r="B58" s="214">
        <f t="shared" si="2"/>
        <v>6.3500000000000001E-2</v>
      </c>
      <c r="C58" s="210">
        <f t="shared" si="2"/>
        <v>0.88</v>
      </c>
      <c r="D58" s="202">
        <f>+B58*C58*0.75</f>
        <v>4.1910000000000003E-2</v>
      </c>
      <c r="E58" s="214">
        <f>+B58*0.25</f>
        <v>1.5875E-2</v>
      </c>
      <c r="F58" s="202">
        <f>+E32</f>
        <v>4.1419999999999998E-2</v>
      </c>
      <c r="G58" s="203">
        <f>+D58+E58+F58</f>
        <v>9.9205000000000002E-2</v>
      </c>
    </row>
    <row r="59" spans="1:10" ht="15.75">
      <c r="A59" s="201" t="str">
        <f>+A33</f>
        <v>KROLL Ex Ante - ERP Conditional (8)</v>
      </c>
      <c r="B59" s="214">
        <f>+B33</f>
        <v>0.06</v>
      </c>
      <c r="C59" s="210">
        <f>+C29</f>
        <v>0.88</v>
      </c>
      <c r="D59" s="202">
        <f>+B59*C59*0.75</f>
        <v>3.9599999999999996E-2</v>
      </c>
      <c r="E59" s="214">
        <f>+B59*0.25</f>
        <v>1.4999999999999999E-2</v>
      </c>
      <c r="F59" s="202">
        <f>+E33</f>
        <v>4.1419999999999998E-2</v>
      </c>
      <c r="G59" s="203">
        <f>+D59+E59+F59</f>
        <v>9.6019999999999994E-2</v>
      </c>
    </row>
    <row r="60" spans="1:10" ht="15.75">
      <c r="A60" s="201"/>
      <c r="B60" s="214"/>
      <c r="C60" s="210"/>
      <c r="D60" s="202"/>
      <c r="E60" s="214"/>
      <c r="F60" s="202"/>
      <c r="G60" s="203"/>
    </row>
    <row r="61" spans="1:10" ht="15.75">
      <c r="A61" s="201" t="s">
        <v>449</v>
      </c>
      <c r="B61" s="214">
        <f>+B35</f>
        <v>0.06</v>
      </c>
      <c r="C61" s="210">
        <f>+C33</f>
        <v>0.88</v>
      </c>
      <c r="D61" s="202">
        <f>+B61*C61*0.75</f>
        <v>3.9599999999999996E-2</v>
      </c>
      <c r="E61" s="214">
        <f>+B61*0.25</f>
        <v>1.4999999999999999E-2</v>
      </c>
      <c r="F61" s="202">
        <f>+E35</f>
        <v>4.1419999999999998E-2</v>
      </c>
      <c r="G61" s="203">
        <f>+D61+E61+F61</f>
        <v>9.6019999999999994E-2</v>
      </c>
    </row>
    <row r="62" spans="1:10" ht="15.75" thickBot="1">
      <c r="A62" s="296"/>
      <c r="B62" s="153"/>
      <c r="C62" s="153"/>
      <c r="D62" s="153"/>
      <c r="E62" s="153"/>
      <c r="F62" s="153"/>
      <c r="G62" s="297"/>
    </row>
    <row r="64" spans="1:10" ht="15.75">
      <c r="A64" s="60" t="s">
        <v>72</v>
      </c>
      <c r="E64" s="213" t="s">
        <v>0</v>
      </c>
    </row>
    <row r="65" spans="1:7">
      <c r="A65" s="163" t="s">
        <v>0</v>
      </c>
      <c r="E65" s="213" t="s">
        <v>0</v>
      </c>
    </row>
    <row r="66" spans="1:7">
      <c r="A66" s="41" t="s">
        <v>450</v>
      </c>
      <c r="B66" s="10"/>
      <c r="C66" s="10"/>
      <c r="D66" s="10"/>
      <c r="E66" s="10"/>
      <c r="F66" s="10"/>
      <c r="G66" s="10"/>
    </row>
    <row r="67" spans="1:7">
      <c r="A67" s="41" t="s">
        <v>0</v>
      </c>
      <c r="B67" s="10"/>
      <c r="C67" s="10"/>
      <c r="D67" s="10"/>
      <c r="E67" s="10"/>
      <c r="F67" s="10"/>
      <c r="G67" s="10"/>
    </row>
    <row r="68" spans="1:7">
      <c r="A68" s="41" t="s">
        <v>451</v>
      </c>
      <c r="B68" s="10"/>
      <c r="C68" s="10"/>
      <c r="D68" s="10"/>
      <c r="E68" s="10"/>
      <c r="F68" s="10"/>
      <c r="G68" s="10"/>
    </row>
    <row r="69" spans="1:7">
      <c r="A69" s="151" t="s">
        <v>452</v>
      </c>
      <c r="C69" s="10"/>
      <c r="D69" s="10"/>
      <c r="E69" s="10"/>
      <c r="F69" s="10"/>
      <c r="G69" s="10"/>
    </row>
    <row r="70" spans="1:7">
      <c r="A70" s="41" t="s">
        <v>0</v>
      </c>
      <c r="B70" s="10"/>
      <c r="C70" s="10"/>
      <c r="D70" s="10"/>
      <c r="E70" s="10"/>
      <c r="F70" s="10"/>
      <c r="G70" s="10"/>
    </row>
    <row r="71" spans="1:7">
      <c r="A71" s="41" t="s">
        <v>481</v>
      </c>
      <c r="B71" s="10"/>
      <c r="C71" s="10"/>
      <c r="D71" s="10"/>
      <c r="E71" s="10"/>
      <c r="F71" s="10"/>
      <c r="G71" s="10"/>
    </row>
    <row r="72" spans="1:7">
      <c r="A72" s="151" t="s">
        <v>453</v>
      </c>
      <c r="B72" s="10"/>
      <c r="C72" s="10"/>
      <c r="D72" s="10"/>
      <c r="E72" s="10"/>
      <c r="F72" s="10"/>
      <c r="G72" s="10"/>
    </row>
    <row r="73" spans="1:7">
      <c r="A73" s="41"/>
      <c r="B73" s="10"/>
      <c r="C73" s="10"/>
      <c r="D73" s="10"/>
      <c r="E73" s="10"/>
      <c r="F73" s="10"/>
      <c r="G73" s="10"/>
    </row>
    <row r="74" spans="1:7">
      <c r="A74" s="41" t="s">
        <v>482</v>
      </c>
      <c r="B74" s="10"/>
      <c r="C74" s="10"/>
      <c r="D74" s="10"/>
      <c r="E74" s="10"/>
      <c r="F74" s="10"/>
      <c r="G74" s="10"/>
    </row>
    <row r="75" spans="1:7">
      <c r="A75" s="151" t="s">
        <v>454</v>
      </c>
      <c r="B75" s="10"/>
      <c r="C75" s="10"/>
      <c r="D75" s="10"/>
      <c r="E75" s="10"/>
      <c r="F75" s="10"/>
      <c r="G75" s="10"/>
    </row>
    <row r="76" spans="1:7">
      <c r="A76" s="41"/>
      <c r="B76" s="10"/>
      <c r="C76" s="10"/>
      <c r="D76" s="10"/>
      <c r="E76" s="10"/>
      <c r="F76" s="10"/>
      <c r="G76" s="10"/>
    </row>
    <row r="77" spans="1:7">
      <c r="A77" s="41" t="s">
        <v>478</v>
      </c>
      <c r="B77" s="10"/>
      <c r="C77" s="10"/>
      <c r="D77" s="10"/>
      <c r="E77" s="10"/>
      <c r="F77" s="10"/>
      <c r="G77" s="10"/>
    </row>
    <row r="78" spans="1:7">
      <c r="A78" s="151" t="s">
        <v>455</v>
      </c>
      <c r="B78" s="10"/>
      <c r="C78" s="10"/>
      <c r="D78" s="10"/>
      <c r="E78" s="10"/>
      <c r="F78" s="10"/>
      <c r="G78" s="10"/>
    </row>
    <row r="79" spans="1:7">
      <c r="A79" s="163"/>
    </row>
    <row r="80" spans="1:7">
      <c r="A80" s="41" t="s">
        <v>442</v>
      </c>
    </row>
    <row r="81" spans="1:7">
      <c r="A81" s="41" t="s">
        <v>0</v>
      </c>
    </row>
    <row r="82" spans="1:7">
      <c r="A82" s="41" t="s">
        <v>456</v>
      </c>
    </row>
    <row r="83" spans="1:7">
      <c r="A83" s="151" t="s">
        <v>457</v>
      </c>
    </row>
    <row r="84" spans="1:7" ht="18.75" thickBot="1">
      <c r="A84" s="154"/>
      <c r="B84" s="154"/>
      <c r="C84" s="154"/>
      <c r="D84" s="26"/>
      <c r="E84" s="34"/>
      <c r="F84" s="26"/>
      <c r="G84" s="153"/>
    </row>
  </sheetData>
  <hyperlinks>
    <hyperlink ref="A83" r:id="rId1" xr:uid="{721B1592-3520-43DD-A231-D24A5571E582}"/>
    <hyperlink ref="A75" r:id="rId2" xr:uid="{D2041205-750D-46CE-ACC0-75B9773AC0CF}"/>
    <hyperlink ref="A78" r:id="rId3" xr:uid="{028AFD23-020E-4135-8A4E-C3426E040A48}"/>
    <hyperlink ref="A72" r:id="rId4" xr:uid="{24814A4B-834B-4503-93FC-BE96CD853D9E}"/>
    <hyperlink ref="A69" r:id="rId5" xr:uid="{6BE68795-A790-4626-8C32-8D22E50BD8C5}"/>
  </hyperlinks>
  <pageMargins left="0.25" right="0.25" top="0.75" bottom="0.75" header="0.3" footer="0.3"/>
  <pageSetup scale="4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42"/>
  <sheetViews>
    <sheetView view="pageBreakPreview" zoomScale="70" zoomScaleNormal="80" zoomScaleSheetLayoutView="70" workbookViewId="0">
      <selection activeCell="J23" sqref="J23"/>
    </sheetView>
  </sheetViews>
  <sheetFormatPr defaultRowHeight="15"/>
  <cols>
    <col min="1" max="1" width="45.140625" customWidth="1"/>
    <col min="2" max="2" width="10.85546875" bestFit="1" customWidth="1"/>
    <col min="3" max="3" width="19.140625" bestFit="1"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1" t="s">
        <v>1</v>
      </c>
      <c r="B1" s="10"/>
      <c r="C1" s="10"/>
      <c r="D1" s="10"/>
      <c r="E1" s="10"/>
      <c r="F1" s="10"/>
      <c r="G1" s="10"/>
      <c r="H1" s="10"/>
      <c r="I1" s="10"/>
      <c r="J1" s="10"/>
      <c r="K1" s="10"/>
    </row>
    <row r="2" spans="1:11" ht="15.75">
      <c r="A2" s="22" t="s">
        <v>9</v>
      </c>
      <c r="B2" s="10"/>
      <c r="C2" s="10"/>
      <c r="D2" s="10"/>
      <c r="E2" s="10"/>
      <c r="F2" s="10"/>
      <c r="G2" s="10"/>
      <c r="H2" s="10"/>
      <c r="I2" s="10"/>
      <c r="J2" s="10"/>
      <c r="K2" s="10"/>
    </row>
    <row r="3" spans="1:11">
      <c r="A3" s="23" t="s">
        <v>62</v>
      </c>
      <c r="B3" s="10"/>
      <c r="C3" s="10"/>
      <c r="D3" s="10"/>
      <c r="E3" s="10"/>
      <c r="F3" s="10"/>
      <c r="G3" s="10"/>
      <c r="H3" s="10"/>
      <c r="I3" s="10"/>
      <c r="J3" s="10"/>
      <c r="K3" s="10"/>
    </row>
    <row r="4" spans="1:11">
      <c r="A4" s="23"/>
      <c r="B4" s="10"/>
      <c r="C4" s="10"/>
      <c r="D4" s="10"/>
      <c r="E4" s="10"/>
      <c r="F4" s="10"/>
      <c r="G4" s="10"/>
      <c r="H4" s="10"/>
      <c r="I4" s="10"/>
      <c r="J4" s="10"/>
      <c r="K4" s="10"/>
    </row>
    <row r="5" spans="1:11" ht="15.75" thickBot="1">
      <c r="A5" s="10"/>
      <c r="B5" s="10"/>
      <c r="C5" s="10"/>
      <c r="D5" s="10"/>
      <c r="E5" s="10"/>
      <c r="F5" s="10" t="s">
        <v>0</v>
      </c>
      <c r="G5" s="10"/>
      <c r="H5" s="24"/>
      <c r="I5" s="10"/>
      <c r="J5" s="10"/>
      <c r="K5" s="10"/>
    </row>
    <row r="6" spans="1:11" ht="16.5" thickBot="1">
      <c r="A6" s="268" t="str">
        <f>+'S&amp;D'!A12</f>
        <v>Air Freight Carriers</v>
      </c>
      <c r="B6" s="200"/>
      <c r="C6" s="10"/>
      <c r="D6" s="26"/>
      <c r="E6" s="26"/>
      <c r="F6" s="26"/>
      <c r="G6" s="27" t="s">
        <v>0</v>
      </c>
      <c r="H6" s="26"/>
      <c r="I6" s="10"/>
      <c r="J6" s="10"/>
      <c r="K6" s="10"/>
    </row>
    <row r="7" spans="1:11" ht="20.25">
      <c r="A7" s="28"/>
      <c r="B7" s="10"/>
      <c r="C7" s="10"/>
      <c r="D7" s="10"/>
      <c r="E7" s="10"/>
      <c r="F7" s="29" t="s">
        <v>435</v>
      </c>
      <c r="G7" s="10"/>
      <c r="H7" s="10"/>
      <c r="I7" s="10"/>
      <c r="J7" s="10"/>
      <c r="K7" s="10"/>
    </row>
    <row r="8" spans="1:11" ht="18.75" thickBot="1">
      <c r="A8" s="28"/>
      <c r="B8" s="10"/>
      <c r="C8" s="10"/>
      <c r="D8" s="26"/>
      <c r="E8" s="26"/>
      <c r="F8" s="30" t="s">
        <v>76</v>
      </c>
      <c r="G8" s="26"/>
      <c r="H8" s="26"/>
      <c r="I8" s="10"/>
      <c r="J8" s="10"/>
      <c r="K8" s="10"/>
    </row>
    <row r="9" spans="1:11" ht="15.75" thickBot="1">
      <c r="A9" s="31" t="s">
        <v>0</v>
      </c>
      <c r="B9" s="31" t="s">
        <v>0</v>
      </c>
      <c r="C9" s="31" t="s">
        <v>0</v>
      </c>
      <c r="D9" s="26"/>
      <c r="E9" s="31"/>
      <c r="F9" s="31" t="s">
        <v>0</v>
      </c>
      <c r="G9" s="31"/>
      <c r="H9" s="26"/>
      <c r="I9" s="26"/>
      <c r="J9" s="26"/>
      <c r="K9" s="10"/>
    </row>
    <row r="10" spans="1:11">
      <c r="A10" s="32" t="s">
        <v>0</v>
      </c>
      <c r="B10" s="32" t="s">
        <v>3</v>
      </c>
      <c r="C10" s="32" t="s">
        <v>5</v>
      </c>
      <c r="D10" s="32" t="s">
        <v>169</v>
      </c>
      <c r="E10" s="32" t="s">
        <v>12</v>
      </c>
      <c r="F10" s="32" t="s">
        <v>180</v>
      </c>
      <c r="G10" s="32" t="s">
        <v>181</v>
      </c>
      <c r="H10" s="32" t="s">
        <v>181</v>
      </c>
      <c r="I10" s="32" t="s">
        <v>177</v>
      </c>
      <c r="J10" s="32" t="s">
        <v>177</v>
      </c>
      <c r="K10" s="10"/>
    </row>
    <row r="11" spans="1:11">
      <c r="A11" s="32" t="s">
        <v>2</v>
      </c>
      <c r="B11" s="32" t="s">
        <v>4</v>
      </c>
      <c r="C11" s="32" t="s">
        <v>6</v>
      </c>
      <c r="D11" s="32" t="s">
        <v>209</v>
      </c>
      <c r="E11" s="32" t="s">
        <v>14</v>
      </c>
      <c r="F11" s="32" t="s">
        <v>430</v>
      </c>
      <c r="G11" s="32" t="s">
        <v>210</v>
      </c>
      <c r="H11" s="32" t="s">
        <v>211</v>
      </c>
      <c r="I11" s="32" t="s">
        <v>172</v>
      </c>
      <c r="J11" s="32" t="s">
        <v>175</v>
      </c>
      <c r="K11" s="10"/>
    </row>
    <row r="12" spans="1:11">
      <c r="A12" s="32"/>
      <c r="B12" s="32"/>
      <c r="C12" s="32"/>
      <c r="D12" s="32"/>
      <c r="E12" s="32"/>
      <c r="F12" s="33" t="s">
        <v>0</v>
      </c>
      <c r="G12" s="33" t="s">
        <v>432</v>
      </c>
      <c r="H12" s="33" t="s">
        <v>432</v>
      </c>
      <c r="I12" s="32"/>
      <c r="J12" s="32"/>
      <c r="K12" s="10"/>
    </row>
    <row r="13" spans="1:11" ht="15.75" thickBot="1">
      <c r="A13" s="34" t="s">
        <v>24</v>
      </c>
      <c r="B13" s="35" t="s">
        <v>91</v>
      </c>
      <c r="C13" s="35" t="s">
        <v>92</v>
      </c>
      <c r="D13" s="35" t="s">
        <v>93</v>
      </c>
      <c r="E13" s="35" t="s">
        <v>94</v>
      </c>
      <c r="F13" s="35" t="s">
        <v>95</v>
      </c>
      <c r="G13" s="35" t="s">
        <v>96</v>
      </c>
      <c r="H13" s="35" t="s">
        <v>97</v>
      </c>
      <c r="I13" s="35" t="s">
        <v>178</v>
      </c>
      <c r="J13" s="35" t="s">
        <v>179</v>
      </c>
      <c r="K13" s="10"/>
    </row>
    <row r="14" spans="1:11">
      <c r="A14" s="36" t="s">
        <v>7</v>
      </c>
      <c r="B14" s="36" t="s">
        <v>7</v>
      </c>
      <c r="C14" s="36" t="s">
        <v>7</v>
      </c>
      <c r="D14" s="37" t="s">
        <v>115</v>
      </c>
      <c r="E14" s="37"/>
      <c r="F14" s="36" t="s">
        <v>0</v>
      </c>
      <c r="G14" s="36" t="s">
        <v>7</v>
      </c>
      <c r="H14" s="36" t="s">
        <v>7</v>
      </c>
      <c r="I14" s="36" t="s">
        <v>15</v>
      </c>
      <c r="J14" s="36" t="s">
        <v>15</v>
      </c>
      <c r="K14" s="10"/>
    </row>
    <row r="15" spans="1:11">
      <c r="A15" s="32"/>
      <c r="B15" s="32"/>
      <c r="C15" s="32"/>
      <c r="D15" s="32"/>
      <c r="E15" s="32"/>
      <c r="F15" s="32"/>
      <c r="G15" s="32"/>
      <c r="H15" s="10"/>
      <c r="I15" s="10"/>
      <c r="J15" s="10"/>
      <c r="K15" s="10"/>
    </row>
    <row r="16" spans="1:11">
      <c r="A16" s="10"/>
      <c r="B16" s="10"/>
      <c r="C16" s="10"/>
      <c r="D16" s="10"/>
      <c r="E16" s="10"/>
      <c r="F16" s="10"/>
      <c r="G16" s="10"/>
      <c r="H16" s="10"/>
      <c r="I16" s="10"/>
      <c r="J16" s="10"/>
      <c r="K16" s="10"/>
    </row>
    <row r="17" spans="1:11" ht="15.75">
      <c r="A17" s="60" t="str">
        <f>+'S&amp;D'!A22</f>
        <v>Air Transport Services Group</v>
      </c>
      <c r="B17" s="86" t="str">
        <f>+'S&amp;D'!B22</f>
        <v>ATSG</v>
      </c>
      <c r="C17" s="86" t="str">
        <f>+'S&amp;D'!C22</f>
        <v>Air Trans</v>
      </c>
      <c r="D17" s="57">
        <f>+'S&amp;D'!G22</f>
        <v>25.98</v>
      </c>
      <c r="E17" s="58">
        <f>+'S&amp;D'!D35</f>
        <v>1879075152.8399999</v>
      </c>
      <c r="F17" s="410" t="str">
        <f>+'Dividends '!H16</f>
        <v>na</v>
      </c>
      <c r="G17" s="410" t="s">
        <v>429</v>
      </c>
      <c r="H17" s="51">
        <v>0.115</v>
      </c>
      <c r="I17" s="410" t="s">
        <v>428</v>
      </c>
      <c r="J17" s="52">
        <f>+H17</f>
        <v>0.115</v>
      </c>
      <c r="K17" s="10"/>
    </row>
    <row r="18" spans="1:11" ht="15.75">
      <c r="A18" s="60" t="str">
        <f>+'S&amp;D'!A23</f>
        <v>Atlas Air</v>
      </c>
      <c r="B18" s="86" t="str">
        <f>+'S&amp;D'!B23</f>
        <v>AAWW</v>
      </c>
      <c r="C18" s="86" t="str">
        <f>+'S&amp;D'!C23</f>
        <v>Air Trans</v>
      </c>
      <c r="D18" s="57">
        <f>+'S&amp;D'!G23</f>
        <v>100.8</v>
      </c>
      <c r="E18" s="58">
        <f>+'S&amp;D'!D36</f>
        <v>2877054062.4000001</v>
      </c>
      <c r="F18" s="410" t="str">
        <f>+'Dividends '!H17</f>
        <v>na</v>
      </c>
      <c r="G18" s="410" t="s">
        <v>429</v>
      </c>
      <c r="H18" s="51">
        <v>3.5000000000000003E-2</v>
      </c>
      <c r="I18" s="410" t="s">
        <v>428</v>
      </c>
      <c r="J18" s="410" t="s">
        <v>428</v>
      </c>
      <c r="K18" s="10"/>
    </row>
    <row r="19" spans="1:11" ht="15.75">
      <c r="A19" s="60" t="str">
        <f>+'S&amp;D'!A24</f>
        <v xml:space="preserve">FedEx Corp </v>
      </c>
      <c r="B19" s="86" t="str">
        <f>+'S&amp;D'!B24</f>
        <v>FDX</v>
      </c>
      <c r="C19" s="86" t="str">
        <f>+'S&amp;D'!C24</f>
        <v>Air Trans</v>
      </c>
      <c r="D19" s="57">
        <f>+'S&amp;D'!G24</f>
        <v>173.2</v>
      </c>
      <c r="E19" s="58">
        <f>+'S&amp;D'!D37</f>
        <v>43715184648</v>
      </c>
      <c r="F19" s="51">
        <f>+'Dividends '!H18</f>
        <v>2.6558891454965358E-2</v>
      </c>
      <c r="G19" s="51">
        <v>0.125</v>
      </c>
      <c r="H19" s="51">
        <v>0.09</v>
      </c>
      <c r="I19" s="316">
        <f t="shared" ref="I19:I20" si="0">+F19+G19</f>
        <v>0.15155889145496537</v>
      </c>
      <c r="J19" s="316">
        <f t="shared" ref="J19:J20" si="1">+F19+H19</f>
        <v>0.11655889145496535</v>
      </c>
      <c r="K19" s="10"/>
    </row>
    <row r="20" spans="1:11" ht="16.5" thickBot="1">
      <c r="A20" s="60" t="str">
        <f>+'S&amp;D'!A25</f>
        <v xml:space="preserve">United Parcel Service </v>
      </c>
      <c r="B20" s="86" t="str">
        <f>+'S&amp;D'!B25</f>
        <v>UPS</v>
      </c>
      <c r="C20" s="86" t="str">
        <f>+'S&amp;D'!C25</f>
        <v>Air Trans</v>
      </c>
      <c r="D20" s="57">
        <f>+'S&amp;D'!G25</f>
        <v>173.84</v>
      </c>
      <c r="E20" s="58">
        <f>+'S&amp;D'!D38</f>
        <v>149293792000</v>
      </c>
      <c r="F20" s="337">
        <f>+'Dividends '!H19</f>
        <v>3.727565577542568E-2</v>
      </c>
      <c r="G20" s="337">
        <v>0.09</v>
      </c>
      <c r="H20" s="337">
        <v>7.4999999999999997E-2</v>
      </c>
      <c r="I20" s="338">
        <f t="shared" si="0"/>
        <v>0.12727565577542568</v>
      </c>
      <c r="J20" s="338">
        <f t="shared" si="1"/>
        <v>0.11227565577542567</v>
      </c>
      <c r="K20" s="10"/>
    </row>
    <row r="21" spans="1:11" ht="15.75" thickTop="1">
      <c r="A21" s="10"/>
      <c r="B21" s="10"/>
      <c r="C21" s="12" t="s">
        <v>0</v>
      </c>
      <c r="D21" s="13" t="s">
        <v>0</v>
      </c>
      <c r="E21" s="13" t="s">
        <v>45</v>
      </c>
      <c r="F21" s="393">
        <v>3.73</v>
      </c>
      <c r="G21" s="14">
        <v>12.5</v>
      </c>
      <c r="H21" s="14">
        <v>11.5</v>
      </c>
      <c r="I21" s="14">
        <v>15.16</v>
      </c>
      <c r="J21" s="14">
        <v>11.66</v>
      </c>
      <c r="K21" s="10"/>
    </row>
    <row r="22" spans="1:11">
      <c r="A22" s="10"/>
      <c r="B22" s="10"/>
      <c r="C22" s="12"/>
      <c r="D22" s="13"/>
      <c r="E22" s="13" t="s">
        <v>46</v>
      </c>
      <c r="F22" s="394">
        <v>2.66</v>
      </c>
      <c r="G22" s="320">
        <v>9</v>
      </c>
      <c r="H22" s="320">
        <v>3.5</v>
      </c>
      <c r="I22" s="320">
        <v>12.73</v>
      </c>
      <c r="J22" s="320">
        <v>11.23</v>
      </c>
      <c r="K22" s="10"/>
    </row>
    <row r="23" spans="1:11">
      <c r="A23" s="10"/>
      <c r="B23" s="10"/>
      <c r="D23" s="15" t="s">
        <v>0</v>
      </c>
      <c r="E23" s="12" t="s">
        <v>18</v>
      </c>
      <c r="F23" s="52">
        <f>MEDIAN(F17:F20)</f>
        <v>3.1917273615195516E-2</v>
      </c>
      <c r="G23" s="311">
        <f>MEDIAN(G17:G20)</f>
        <v>0.1075</v>
      </c>
      <c r="H23" s="311">
        <f>MEDIAN(H17:H20)</f>
        <v>8.249999999999999E-2</v>
      </c>
      <c r="I23" s="312">
        <f>MEDIAN(I17:I20)</f>
        <v>0.13941727361519551</v>
      </c>
      <c r="J23" s="312">
        <f>MEDIAN(J17:J20)</f>
        <v>0.115</v>
      </c>
      <c r="K23" s="10"/>
    </row>
    <row r="24" spans="1:11">
      <c r="A24" s="10"/>
      <c r="B24" s="10"/>
      <c r="D24" s="19" t="s">
        <v>0</v>
      </c>
      <c r="E24" s="12" t="s">
        <v>443</v>
      </c>
      <c r="F24" s="52">
        <f>AVERAGE(F17:F20)</f>
        <v>3.1917273615195516E-2</v>
      </c>
      <c r="G24" s="52">
        <f>AVERAGE(G17:G20)</f>
        <v>0.1075</v>
      </c>
      <c r="H24" s="311">
        <f>AVERAGE(H17:H20)</f>
        <v>7.8750000000000001E-2</v>
      </c>
      <c r="I24" s="312">
        <f>AVERAGE(I17:I20)</f>
        <v>0.13941727361519551</v>
      </c>
      <c r="J24" s="312">
        <f>AVERAGE(J17:J20)</f>
        <v>0.11461151574346368</v>
      </c>
      <c r="K24" s="10"/>
    </row>
    <row r="25" spans="1:11">
      <c r="A25" s="10"/>
      <c r="B25" s="10"/>
      <c r="D25" s="19"/>
      <c r="E25" s="12"/>
      <c r="F25" s="16"/>
      <c r="G25" s="16"/>
      <c r="H25" s="17"/>
      <c r="I25" s="18"/>
      <c r="J25" s="18"/>
      <c r="K25" s="10"/>
    </row>
    <row r="26" spans="1:11" ht="15.75" thickBot="1">
      <c r="A26" s="10"/>
      <c r="B26" s="10"/>
      <c r="C26" s="10"/>
      <c r="D26" s="10"/>
      <c r="E26" s="10"/>
      <c r="F26" s="10"/>
      <c r="G26" s="10"/>
      <c r="H26" s="10"/>
      <c r="I26" s="10"/>
      <c r="J26" s="10"/>
      <c r="K26" s="10"/>
    </row>
    <row r="27" spans="1:11" ht="24" thickBot="1">
      <c r="A27" s="10"/>
      <c r="B27" s="10"/>
      <c r="C27" s="10"/>
      <c r="D27" s="10"/>
      <c r="E27" s="10"/>
      <c r="F27" s="10"/>
      <c r="G27" s="197" t="s">
        <v>183</v>
      </c>
      <c r="H27" s="199"/>
      <c r="I27" s="452">
        <v>0.1394</v>
      </c>
      <c r="J27" s="10"/>
      <c r="K27" s="10"/>
    </row>
    <row r="28" spans="1:11" ht="20.25" customHeight="1" thickBot="1">
      <c r="A28" s="10"/>
      <c r="B28" s="10"/>
      <c r="C28" s="10"/>
      <c r="D28" s="10"/>
      <c r="E28" s="10"/>
      <c r="F28" s="10"/>
      <c r="G28" s="10"/>
      <c r="H28" s="10"/>
      <c r="I28" s="10"/>
      <c r="J28" s="10"/>
      <c r="K28" s="10"/>
    </row>
    <row r="29" spans="1:11" ht="24" thickBot="1">
      <c r="A29" s="10"/>
      <c r="B29" s="10"/>
      <c r="C29" s="10"/>
      <c r="D29" s="10"/>
      <c r="E29" s="10"/>
      <c r="F29" s="10"/>
      <c r="G29" s="197" t="s">
        <v>182</v>
      </c>
      <c r="H29" s="200"/>
      <c r="I29" s="452">
        <v>0.11459999999999999</v>
      </c>
      <c r="J29" s="10"/>
      <c r="K29" s="10"/>
    </row>
    <row r="30" spans="1:11">
      <c r="A30" s="10"/>
      <c r="B30" s="10"/>
      <c r="C30" s="10"/>
      <c r="D30" s="10"/>
      <c r="E30" s="10"/>
      <c r="F30" s="10"/>
      <c r="G30" s="10"/>
      <c r="H30" s="10"/>
      <c r="I30" s="10"/>
      <c r="J30" s="10"/>
    </row>
    <row r="31" spans="1:11" ht="20.25">
      <c r="A31" s="21" t="s">
        <v>375</v>
      </c>
      <c r="B31" s="10"/>
      <c r="C31" s="21" t="s">
        <v>374</v>
      </c>
      <c r="D31" s="10"/>
      <c r="E31" s="10"/>
      <c r="F31" s="10"/>
      <c r="G31" s="10"/>
      <c r="H31" s="10"/>
      <c r="I31" s="10"/>
      <c r="J31" s="10"/>
    </row>
    <row r="32" spans="1:11" ht="15.75">
      <c r="A32" s="60" t="s">
        <v>378</v>
      </c>
      <c r="B32" s="10"/>
      <c r="C32" s="60" t="s">
        <v>378</v>
      </c>
      <c r="D32" s="10"/>
      <c r="E32" s="10"/>
      <c r="F32" s="10"/>
      <c r="G32" s="10"/>
      <c r="H32" s="10"/>
      <c r="I32" s="10"/>
      <c r="J32" s="10"/>
    </row>
    <row r="33" spans="1:10" ht="15.75">
      <c r="A33" s="60" t="s">
        <v>377</v>
      </c>
      <c r="B33" s="10"/>
      <c r="C33" s="60" t="s">
        <v>376</v>
      </c>
      <c r="D33" s="10"/>
      <c r="E33" s="10"/>
      <c r="F33" s="10"/>
      <c r="G33" s="10"/>
      <c r="H33" s="10"/>
      <c r="I33" s="10"/>
      <c r="J33" s="10"/>
    </row>
    <row r="34" spans="1:10">
      <c r="A34" s="41"/>
      <c r="B34" s="10"/>
      <c r="C34" s="41"/>
      <c r="D34" s="10"/>
      <c r="E34" s="10"/>
      <c r="F34" s="10"/>
      <c r="G34" s="10"/>
      <c r="H34" s="10"/>
      <c r="I34" s="10"/>
      <c r="J34" s="10"/>
    </row>
    <row r="35" spans="1:10">
      <c r="A35" s="41"/>
      <c r="B35" s="10"/>
      <c r="C35" s="41"/>
      <c r="D35" s="10"/>
      <c r="E35" s="10"/>
      <c r="F35" s="10"/>
      <c r="G35" s="10"/>
      <c r="H35" s="10"/>
      <c r="I35" s="10"/>
      <c r="J35" s="10"/>
    </row>
    <row r="36" spans="1:10" ht="20.25">
      <c r="A36" s="21" t="s">
        <v>206</v>
      </c>
      <c r="B36" s="10"/>
      <c r="C36" s="21" t="s">
        <v>206</v>
      </c>
      <c r="D36" s="10"/>
      <c r="E36" s="10"/>
      <c r="F36" s="10"/>
      <c r="G36" s="10"/>
      <c r="H36" s="10"/>
      <c r="I36" s="10"/>
      <c r="J36" s="10"/>
    </row>
    <row r="37" spans="1:10">
      <c r="A37" s="41"/>
      <c r="B37" s="10"/>
      <c r="C37" s="41"/>
      <c r="D37" s="10"/>
      <c r="E37" s="10"/>
      <c r="F37" s="10"/>
      <c r="G37" s="10"/>
      <c r="H37" s="10"/>
      <c r="I37" s="10"/>
      <c r="J37" s="10"/>
    </row>
    <row r="38" spans="1:10" ht="15.75">
      <c r="A38" s="60" t="s">
        <v>207</v>
      </c>
      <c r="B38" s="10"/>
      <c r="C38" s="60" t="s">
        <v>207</v>
      </c>
      <c r="D38" s="10"/>
      <c r="E38" s="10"/>
      <c r="F38" s="10"/>
      <c r="G38" s="10"/>
      <c r="H38" s="10"/>
      <c r="I38" s="10"/>
      <c r="J38" s="10"/>
    </row>
    <row r="39" spans="1:10" ht="15.75">
      <c r="A39" s="60" t="s">
        <v>205</v>
      </c>
      <c r="B39" s="10"/>
      <c r="C39" s="60" t="s">
        <v>205</v>
      </c>
      <c r="D39" s="10"/>
      <c r="E39" s="10"/>
      <c r="F39" s="10"/>
      <c r="G39" s="10"/>
      <c r="H39" s="10"/>
      <c r="I39" s="10"/>
      <c r="J39" s="10"/>
    </row>
    <row r="40" spans="1:10" ht="15.75">
      <c r="A40" s="60" t="s">
        <v>208</v>
      </c>
      <c r="B40" s="10"/>
      <c r="C40" s="60" t="s">
        <v>208</v>
      </c>
      <c r="D40" s="10"/>
      <c r="E40" s="10"/>
      <c r="F40" s="10"/>
      <c r="G40" s="10"/>
      <c r="H40" s="10"/>
      <c r="I40" s="10"/>
      <c r="J40" s="10"/>
    </row>
    <row r="41" spans="1:10" ht="15.75">
      <c r="A41" s="60" t="s">
        <v>380</v>
      </c>
      <c r="B41" s="10"/>
      <c r="C41" s="60" t="s">
        <v>379</v>
      </c>
      <c r="D41" s="10"/>
      <c r="E41" s="10"/>
      <c r="F41" s="10"/>
      <c r="G41" s="10"/>
      <c r="H41" s="10"/>
      <c r="I41" s="10"/>
      <c r="J41" s="10"/>
    </row>
    <row r="42" spans="1:10" ht="15.75">
      <c r="A42" s="60"/>
      <c r="B42" s="10"/>
      <c r="C42" s="60"/>
      <c r="D42" s="10"/>
      <c r="E42" s="10"/>
      <c r="F42" s="10"/>
      <c r="G42" s="10"/>
      <c r="H42" s="10"/>
      <c r="I42" s="10"/>
      <c r="J42" s="10"/>
    </row>
  </sheetData>
  <pageMargins left="0.25" right="0.25"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04"/>
  <sheetViews>
    <sheetView view="pageBreakPreview" zoomScale="70" zoomScaleNormal="80" zoomScaleSheetLayoutView="70" workbookViewId="0">
      <selection activeCell="H31" sqref="H31"/>
    </sheetView>
  </sheetViews>
  <sheetFormatPr defaultRowHeight="15"/>
  <cols>
    <col min="1" max="1" width="47.85546875" customWidth="1"/>
    <col min="2" max="2" width="15.28515625" customWidth="1"/>
    <col min="3" max="3" width="24.5703125" customWidth="1"/>
    <col min="4" max="4" width="26.5703125" customWidth="1"/>
    <col min="5" max="5" width="32.28515625" customWidth="1"/>
    <col min="6" max="6" width="22.42578125" customWidth="1"/>
    <col min="7" max="7" width="27" customWidth="1"/>
    <col min="8" max="8" width="39.85546875" customWidth="1"/>
    <col min="9" max="9" width="15.28515625" customWidth="1"/>
    <col min="10" max="10" width="24.5703125" customWidth="1"/>
    <col min="11" max="11" width="24.140625" customWidth="1"/>
    <col min="13" max="13" width="10.5703125" customWidth="1"/>
  </cols>
  <sheetData>
    <row r="1" spans="1:9" ht="20.25">
      <c r="A1" s="21" t="s">
        <v>1</v>
      </c>
      <c r="B1" s="10"/>
      <c r="C1" s="10"/>
      <c r="D1" s="10"/>
      <c r="E1" s="10"/>
      <c r="F1" s="10"/>
      <c r="G1" s="10"/>
      <c r="H1" s="10"/>
      <c r="I1" s="10"/>
    </row>
    <row r="2" spans="1:9" ht="15.75">
      <c r="A2" s="22" t="s">
        <v>9</v>
      </c>
      <c r="B2" s="10"/>
      <c r="C2" s="10"/>
      <c r="D2" s="10"/>
      <c r="E2" s="10"/>
      <c r="F2" s="10"/>
      <c r="G2" s="10"/>
      <c r="H2" s="10"/>
      <c r="I2" s="10"/>
    </row>
    <row r="3" spans="1:9">
      <c r="A3" s="23" t="s">
        <v>62</v>
      </c>
      <c r="B3" s="10"/>
      <c r="C3" s="10"/>
      <c r="D3" s="10"/>
      <c r="E3" s="10"/>
      <c r="F3" s="10"/>
      <c r="G3" s="10"/>
      <c r="H3" s="10"/>
      <c r="I3" s="10"/>
    </row>
    <row r="4" spans="1:9">
      <c r="A4" s="23"/>
      <c r="B4" s="10"/>
      <c r="C4" s="10"/>
      <c r="D4" s="10"/>
      <c r="E4" s="10"/>
      <c r="F4" s="10"/>
      <c r="G4" s="10"/>
      <c r="H4" s="10"/>
      <c r="I4" s="10"/>
    </row>
    <row r="5" spans="1:9" ht="15.75" thickBot="1">
      <c r="A5" s="10"/>
      <c r="B5" s="10"/>
      <c r="C5" s="10"/>
      <c r="D5" s="10"/>
      <c r="E5" s="10"/>
      <c r="F5" s="10"/>
      <c r="G5" s="10"/>
      <c r="H5" s="10"/>
      <c r="I5" s="24"/>
    </row>
    <row r="6" spans="1:9" ht="18.75" thickBot="1">
      <c r="A6" s="266" t="str">
        <f>+'S&amp;D'!A12</f>
        <v>Air Freight Carriers</v>
      </c>
      <c r="B6" s="200"/>
      <c r="C6" s="10"/>
      <c r="D6" s="10"/>
      <c r="E6" s="10"/>
      <c r="F6" s="10"/>
      <c r="G6" s="10"/>
      <c r="H6" s="10"/>
      <c r="I6" s="10"/>
    </row>
    <row r="7" spans="1:9" ht="18">
      <c r="A7" s="28"/>
      <c r="B7" s="10"/>
      <c r="C7" s="10"/>
      <c r="D7" s="10"/>
      <c r="E7" s="10"/>
      <c r="F7" s="10"/>
      <c r="G7" s="10"/>
      <c r="H7" s="10"/>
      <c r="I7" s="10"/>
    </row>
    <row r="8" spans="1:9" ht="18.75" thickBot="1">
      <c r="A8" s="28"/>
      <c r="B8" s="10"/>
      <c r="C8" s="10"/>
      <c r="D8" s="26"/>
      <c r="E8" s="26"/>
      <c r="F8" s="26"/>
      <c r="G8" s="10"/>
      <c r="H8" s="10"/>
      <c r="I8" s="10"/>
    </row>
    <row r="9" spans="1:9" ht="20.25">
      <c r="A9" s="28"/>
      <c r="B9" s="10"/>
      <c r="C9" s="10"/>
      <c r="D9" s="10"/>
      <c r="E9" s="29" t="s">
        <v>184</v>
      </c>
      <c r="F9" s="10"/>
      <c r="G9" s="10"/>
      <c r="H9" s="10"/>
      <c r="I9" s="10"/>
    </row>
    <row r="10" spans="1:9" ht="18.75" thickBot="1">
      <c r="A10" s="28"/>
      <c r="B10" s="10"/>
      <c r="C10" s="10"/>
      <c r="D10" s="26"/>
      <c r="E10" s="30" t="s">
        <v>76</v>
      </c>
      <c r="F10" s="26"/>
      <c r="G10" s="10"/>
      <c r="H10" s="10"/>
      <c r="I10" s="10"/>
    </row>
    <row r="11" spans="1:9" ht="18">
      <c r="A11" s="28"/>
      <c r="B11" s="10"/>
      <c r="C11" s="10"/>
      <c r="D11" s="10"/>
      <c r="E11" s="10"/>
      <c r="F11" s="32"/>
      <c r="G11" s="32"/>
      <c r="H11" s="10"/>
      <c r="I11" s="10"/>
    </row>
    <row r="12" spans="1:9" ht="18">
      <c r="A12" s="28"/>
      <c r="B12" s="10"/>
      <c r="C12" s="10"/>
      <c r="D12" s="10" t="s">
        <v>0</v>
      </c>
      <c r="E12" s="10"/>
      <c r="F12" s="32"/>
      <c r="G12" s="32"/>
      <c r="H12" s="10"/>
      <c r="I12" s="10"/>
    </row>
    <row r="13" spans="1:9" ht="45.75" customHeight="1" thickBot="1">
      <c r="A13" s="31" t="s">
        <v>0</v>
      </c>
      <c r="B13" s="31" t="s">
        <v>0</v>
      </c>
      <c r="C13" s="31" t="s">
        <v>0</v>
      </c>
      <c r="D13" s="26"/>
      <c r="E13" s="26"/>
      <c r="F13" s="31" t="s">
        <v>0</v>
      </c>
      <c r="G13" s="31"/>
      <c r="H13" s="31"/>
      <c r="I13" s="10"/>
    </row>
    <row r="14" spans="1:9">
      <c r="A14" s="32" t="s">
        <v>0</v>
      </c>
      <c r="B14" s="32" t="s">
        <v>3</v>
      </c>
      <c r="C14" s="32" t="s">
        <v>5</v>
      </c>
      <c r="D14" s="32" t="s">
        <v>180</v>
      </c>
      <c r="E14" s="32" t="s">
        <v>181</v>
      </c>
      <c r="F14" s="32" t="s">
        <v>185</v>
      </c>
      <c r="G14" s="32" t="s">
        <v>19</v>
      </c>
      <c r="H14" s="32" t="s">
        <v>187</v>
      </c>
      <c r="I14" s="10"/>
    </row>
    <row r="15" spans="1:9">
      <c r="A15" s="32" t="s">
        <v>2</v>
      </c>
      <c r="B15" s="32" t="s">
        <v>4</v>
      </c>
      <c r="C15" s="32" t="s">
        <v>6</v>
      </c>
      <c r="D15" s="32" t="s">
        <v>430</v>
      </c>
      <c r="E15" s="32" t="s">
        <v>431</v>
      </c>
      <c r="F15" s="32" t="s">
        <v>130</v>
      </c>
      <c r="G15" s="32" t="s">
        <v>186</v>
      </c>
      <c r="H15" s="32" t="s">
        <v>176</v>
      </c>
      <c r="I15" s="10"/>
    </row>
    <row r="16" spans="1:9">
      <c r="A16" s="32"/>
      <c r="B16" s="32" t="s">
        <v>0</v>
      </c>
      <c r="C16" s="32" t="s">
        <v>0</v>
      </c>
      <c r="D16" s="32" t="s">
        <v>0</v>
      </c>
      <c r="E16" s="33" t="s">
        <v>432</v>
      </c>
      <c r="F16" s="33" t="s">
        <v>0</v>
      </c>
      <c r="G16" s="32" t="s">
        <v>191</v>
      </c>
      <c r="H16" s="33" t="s">
        <v>192</v>
      </c>
      <c r="I16" s="10"/>
    </row>
    <row r="17" spans="1:11" ht="18" customHeight="1" thickBot="1">
      <c r="A17" s="64" t="s">
        <v>0</v>
      </c>
      <c r="B17" s="35" t="s">
        <v>0</v>
      </c>
      <c r="C17" s="35" t="s">
        <v>0</v>
      </c>
      <c r="D17" s="30" t="s">
        <v>189</v>
      </c>
      <c r="E17" s="30" t="s">
        <v>190</v>
      </c>
      <c r="F17" s="30" t="s">
        <v>188</v>
      </c>
      <c r="G17" s="32" t="s">
        <v>96</v>
      </c>
      <c r="H17" s="153"/>
      <c r="I17" s="10"/>
    </row>
    <row r="18" spans="1:11">
      <c r="A18" s="36" t="s">
        <v>0</v>
      </c>
      <c r="B18" s="36" t="s">
        <v>0</v>
      </c>
      <c r="C18" s="36" t="s">
        <v>0</v>
      </c>
      <c r="D18" s="36" t="s">
        <v>7</v>
      </c>
      <c r="E18" s="36" t="s">
        <v>7</v>
      </c>
      <c r="F18" s="36" t="s">
        <v>0</v>
      </c>
      <c r="G18" s="65" t="s">
        <v>0</v>
      </c>
      <c r="H18" s="36" t="s">
        <v>0</v>
      </c>
      <c r="I18" s="10"/>
    </row>
    <row r="19" spans="1:11">
      <c r="A19" s="32"/>
      <c r="B19" s="32"/>
      <c r="C19" s="32"/>
      <c r="D19" s="32"/>
      <c r="E19" s="10"/>
      <c r="F19" s="32"/>
      <c r="G19" s="10"/>
      <c r="H19" s="10"/>
      <c r="I19" s="10"/>
      <c r="J19" t="s">
        <v>0</v>
      </c>
      <c r="K19" t="s">
        <v>0</v>
      </c>
    </row>
    <row r="20" spans="1:11">
      <c r="A20" s="10"/>
      <c r="B20" s="10"/>
      <c r="C20" s="10"/>
      <c r="D20" s="10"/>
      <c r="E20" s="10"/>
      <c r="F20" s="10"/>
      <c r="G20" s="10"/>
      <c r="H20" s="10" t="s">
        <v>0</v>
      </c>
      <c r="I20" s="10"/>
      <c r="J20" t="s">
        <v>0</v>
      </c>
      <c r="K20" t="s">
        <v>0</v>
      </c>
    </row>
    <row r="21" spans="1:11" ht="15.75">
      <c r="A21" s="60" t="str">
        <f>+'S&amp;D'!A22</f>
        <v>Air Transport Services Group</v>
      </c>
      <c r="B21" s="86" t="str">
        <f>+'S&amp;D'!B22</f>
        <v>ATSG</v>
      </c>
      <c r="C21" s="32" t="str">
        <f>+'S&amp;D'!C22</f>
        <v>Air Trans</v>
      </c>
      <c r="D21" s="401" t="str">
        <f>+'Single Stage Div Growth Model'!F17</f>
        <v>na</v>
      </c>
      <c r="E21" s="63">
        <f>+'Single Stage Div Growth Model'!H17</f>
        <v>0.115</v>
      </c>
      <c r="F21" s="63">
        <f>+'Growth &amp; Inflation Rates'!F93</f>
        <v>4.1419999999999998E-2</v>
      </c>
      <c r="G21" s="63">
        <f t="shared" ref="G21" si="0">(F21+E21)/2</f>
        <v>7.8210000000000002E-2</v>
      </c>
      <c r="H21" s="401" t="s">
        <v>428</v>
      </c>
      <c r="I21" s="10"/>
      <c r="J21" t="s">
        <v>0</v>
      </c>
      <c r="K21" t="s">
        <v>0</v>
      </c>
    </row>
    <row r="22" spans="1:11" ht="15.75">
      <c r="A22" s="60" t="str">
        <f>+'S&amp;D'!A23</f>
        <v>Atlas Air</v>
      </c>
      <c r="B22" s="86" t="str">
        <f>+'S&amp;D'!B23</f>
        <v>AAWW</v>
      </c>
      <c r="C22" s="32" t="str">
        <f>+'S&amp;D'!C23</f>
        <v>Air Trans</v>
      </c>
      <c r="D22" s="401" t="str">
        <f>+'Single Stage Div Growth Model'!F18</f>
        <v>na</v>
      </c>
      <c r="E22" s="63">
        <f>+'Single Stage Div Growth Model'!H18</f>
        <v>3.5000000000000003E-2</v>
      </c>
      <c r="F22" s="63">
        <f>+F21</f>
        <v>4.1419999999999998E-2</v>
      </c>
      <c r="G22" s="63">
        <f t="shared" ref="G22:G24" si="1">(F22+E22)/2</f>
        <v>3.8210000000000001E-2</v>
      </c>
      <c r="H22" s="401" t="s">
        <v>428</v>
      </c>
      <c r="I22" s="10"/>
    </row>
    <row r="23" spans="1:11" ht="15.75">
      <c r="A23" s="60" t="str">
        <f>+'S&amp;D'!A24</f>
        <v xml:space="preserve">FedEx Corp </v>
      </c>
      <c r="B23" s="86" t="str">
        <f>+'S&amp;D'!B24</f>
        <v>FDX</v>
      </c>
      <c r="C23" s="32" t="str">
        <f>+'S&amp;D'!C24</f>
        <v>Air Trans</v>
      </c>
      <c r="D23" s="63">
        <f>+'Single Stage Div Growth Model'!F19</f>
        <v>2.6558891454965358E-2</v>
      </c>
      <c r="E23" s="63">
        <f>+'Single Stage Div Growth Model'!H19</f>
        <v>0.09</v>
      </c>
      <c r="F23" s="63">
        <f>+F21</f>
        <v>4.1419999999999998E-2</v>
      </c>
      <c r="G23" s="63">
        <f t="shared" si="1"/>
        <v>6.5709999999999991E-2</v>
      </c>
      <c r="H23" s="63">
        <f t="shared" ref="H23:H24" si="2">D23*(1+(0.5*G23))+(0.67*E23)+(0.33*F23)</f>
        <v>0.10140008383371825</v>
      </c>
      <c r="I23" s="10"/>
    </row>
    <row r="24" spans="1:11" ht="16.5" thickBot="1">
      <c r="A24" s="60" t="str">
        <f>+'S&amp;D'!A25</f>
        <v xml:space="preserve">United Parcel Service </v>
      </c>
      <c r="B24" s="86" t="str">
        <f>+'S&amp;D'!B25</f>
        <v>UPS</v>
      </c>
      <c r="C24" s="32" t="str">
        <f>+'S&amp;D'!C25</f>
        <v>Air Trans</v>
      </c>
      <c r="D24" s="63">
        <f>+'Single Stage Div Growth Model'!F20</f>
        <v>3.727565577542568E-2</v>
      </c>
      <c r="E24" s="63">
        <f>+'Single Stage Div Growth Model'!H20</f>
        <v>7.4999999999999997E-2</v>
      </c>
      <c r="F24" s="63">
        <f>+F21</f>
        <v>4.1419999999999998E-2</v>
      </c>
      <c r="G24" s="63">
        <f t="shared" si="1"/>
        <v>5.8209999999999998E-2</v>
      </c>
      <c r="H24" s="339">
        <f t="shared" si="2"/>
        <v>0.10227916373676946</v>
      </c>
      <c r="I24" s="10"/>
    </row>
    <row r="25" spans="1:11" ht="15.75" thickTop="1">
      <c r="A25" s="10"/>
      <c r="B25" s="10"/>
      <c r="C25" s="10"/>
      <c r="D25" s="10"/>
      <c r="E25" s="10"/>
      <c r="F25" s="10"/>
      <c r="G25" s="193" t="s">
        <v>45</v>
      </c>
      <c r="H25" s="53">
        <v>0.1023</v>
      </c>
      <c r="I25" s="10"/>
    </row>
    <row r="26" spans="1:11">
      <c r="A26" s="10"/>
      <c r="B26" s="10"/>
      <c r="C26" s="12" t="s">
        <v>0</v>
      </c>
      <c r="D26" s="13" t="s">
        <v>0</v>
      </c>
      <c r="E26" s="13" t="s">
        <v>0</v>
      </c>
      <c r="F26" s="14" t="s">
        <v>0</v>
      </c>
      <c r="G26" s="320" t="s">
        <v>46</v>
      </c>
      <c r="H26" s="310">
        <v>0.1014</v>
      </c>
      <c r="I26" s="10"/>
    </row>
    <row r="27" spans="1:11">
      <c r="A27" s="10"/>
      <c r="B27" s="10"/>
      <c r="D27" s="53" t="s">
        <v>0</v>
      </c>
      <c r="E27" s="48" t="s">
        <v>0</v>
      </c>
      <c r="F27" s="48" t="s">
        <v>0</v>
      </c>
      <c r="G27" s="12" t="s">
        <v>18</v>
      </c>
      <c r="H27" s="49">
        <f>MEDIAN(H21:H24)</f>
        <v>0.10183962378524386</v>
      </c>
      <c r="I27" s="10"/>
    </row>
    <row r="28" spans="1:11">
      <c r="A28" s="10"/>
      <c r="B28" s="10"/>
      <c r="D28" s="53" t="s">
        <v>0</v>
      </c>
      <c r="E28" s="48" t="s">
        <v>0</v>
      </c>
      <c r="F28" s="53" t="s">
        <v>0</v>
      </c>
      <c r="G28" s="12" t="s">
        <v>443</v>
      </c>
      <c r="H28" s="49">
        <f>AVERAGE(H21:H24)</f>
        <v>0.10183962378524386</v>
      </c>
      <c r="I28" s="10"/>
    </row>
    <row r="29" spans="1:11">
      <c r="A29" s="10"/>
      <c r="B29" s="10"/>
      <c r="C29" s="12"/>
      <c r="D29" s="16" t="s">
        <v>0</v>
      </c>
      <c r="E29" s="17"/>
      <c r="F29" s="16"/>
      <c r="G29" s="18"/>
      <c r="H29" s="18"/>
      <c r="I29" s="10"/>
    </row>
    <row r="30" spans="1:11" ht="15.75" thickBot="1">
      <c r="A30" s="10"/>
      <c r="B30" s="10"/>
      <c r="C30" s="10"/>
      <c r="D30" s="10"/>
      <c r="E30" s="10"/>
      <c r="F30" s="10"/>
      <c r="G30" s="10"/>
      <c r="H30" s="10"/>
      <c r="I30" s="10"/>
    </row>
    <row r="31" spans="1:11" ht="24" thickBot="1">
      <c r="A31" s="10"/>
      <c r="B31" s="10"/>
      <c r="C31" s="10"/>
      <c r="D31" s="10"/>
      <c r="F31" s="197"/>
      <c r="G31" s="198" t="s">
        <v>241</v>
      </c>
      <c r="H31" s="453">
        <v>0.1018</v>
      </c>
      <c r="I31" s="10"/>
    </row>
    <row r="32" spans="1:11">
      <c r="A32" s="10"/>
      <c r="B32" s="10"/>
      <c r="C32" s="10"/>
      <c r="D32" s="10"/>
      <c r="E32" s="10"/>
      <c r="F32" s="10"/>
      <c r="G32" s="10"/>
      <c r="H32" s="10"/>
      <c r="I32" s="10"/>
    </row>
    <row r="33" spans="1:9" ht="23.25">
      <c r="A33" s="21" t="s">
        <v>0</v>
      </c>
      <c r="B33" s="10"/>
      <c r="C33" s="10"/>
      <c r="D33" s="10"/>
      <c r="E33" s="10"/>
      <c r="F33" s="10"/>
      <c r="G33" s="20" t="s">
        <v>0</v>
      </c>
      <c r="H33" s="10"/>
      <c r="I33" s="10"/>
    </row>
    <row r="34" spans="1:9">
      <c r="A34" s="41"/>
      <c r="B34" s="10"/>
      <c r="C34" s="10"/>
      <c r="D34" s="10"/>
      <c r="E34" s="10"/>
      <c r="F34" s="10"/>
      <c r="G34" s="10"/>
      <c r="H34" s="10"/>
      <c r="I34" s="10"/>
    </row>
    <row r="35" spans="1:9" ht="20.25">
      <c r="A35" s="21" t="s">
        <v>326</v>
      </c>
      <c r="B35" s="10"/>
      <c r="C35" s="10"/>
      <c r="D35" s="10"/>
      <c r="E35" s="10"/>
      <c r="F35" s="10"/>
      <c r="G35" s="10"/>
      <c r="H35" s="10"/>
      <c r="I35" s="10"/>
    </row>
    <row r="36" spans="1:9">
      <c r="A36" s="41"/>
      <c r="B36" s="10"/>
      <c r="C36" s="10"/>
      <c r="D36" s="10"/>
      <c r="E36" s="10"/>
      <c r="F36" s="10"/>
      <c r="G36" s="10"/>
      <c r="H36" s="10"/>
      <c r="I36" s="10"/>
    </row>
    <row r="37" spans="1:9" ht="15.75">
      <c r="A37" s="60" t="s">
        <v>207</v>
      </c>
      <c r="B37" s="10"/>
      <c r="C37" s="10"/>
      <c r="D37" s="10"/>
      <c r="E37" s="10"/>
      <c r="F37" s="10"/>
      <c r="G37" s="10"/>
      <c r="H37" s="10"/>
      <c r="I37" s="10"/>
    </row>
    <row r="38" spans="1:9" ht="15.75">
      <c r="A38" s="60" t="s">
        <v>329</v>
      </c>
      <c r="B38" s="10"/>
      <c r="C38" s="10"/>
      <c r="D38" s="10"/>
      <c r="E38" s="10"/>
      <c r="F38" s="10"/>
      <c r="G38" s="10"/>
      <c r="H38" s="10"/>
      <c r="I38" s="10"/>
    </row>
    <row r="39" spans="1:9" ht="15.75">
      <c r="A39" s="60" t="s">
        <v>327</v>
      </c>
      <c r="B39" s="10"/>
      <c r="C39" s="10"/>
      <c r="D39" s="10"/>
      <c r="E39" s="10"/>
      <c r="F39" s="10"/>
      <c r="G39" s="10"/>
      <c r="H39" s="10"/>
      <c r="I39" s="10"/>
    </row>
    <row r="40" spans="1:9" ht="15.75">
      <c r="A40" s="60" t="s">
        <v>328</v>
      </c>
      <c r="B40" s="10"/>
      <c r="C40" s="10"/>
      <c r="D40" s="10"/>
      <c r="E40" s="10"/>
      <c r="F40" s="10"/>
      <c r="G40" s="10"/>
      <c r="H40" s="10"/>
      <c r="I40" s="10"/>
    </row>
    <row r="41" spans="1:9" ht="15.75">
      <c r="A41" s="60" t="s">
        <v>330</v>
      </c>
      <c r="B41" s="10"/>
      <c r="C41" s="10"/>
      <c r="D41" s="10"/>
      <c r="E41" s="10"/>
      <c r="F41" s="10"/>
      <c r="G41" s="10"/>
      <c r="H41" s="10"/>
      <c r="I41" s="10"/>
    </row>
    <row r="42" spans="1:9">
      <c r="A42" s="10"/>
      <c r="B42" s="10"/>
      <c r="C42" s="10"/>
      <c r="D42" s="10"/>
      <c r="E42" s="10"/>
      <c r="F42" s="10"/>
      <c r="G42" s="10"/>
      <c r="H42" s="10"/>
      <c r="I42" s="10"/>
    </row>
    <row r="43" spans="1:9">
      <c r="A43" s="10"/>
      <c r="B43" s="10"/>
      <c r="C43" s="10"/>
      <c r="D43" s="10"/>
      <c r="E43" s="10"/>
      <c r="F43" s="10"/>
      <c r="G43" s="10"/>
      <c r="H43" s="10"/>
      <c r="I43" s="10"/>
    </row>
    <row r="44" spans="1:9">
      <c r="A44" s="10"/>
      <c r="B44" s="10"/>
      <c r="C44" s="10"/>
      <c r="D44" s="10"/>
      <c r="E44" s="10"/>
      <c r="F44" s="10"/>
      <c r="G44" s="10"/>
      <c r="H44" s="10"/>
      <c r="I44" s="10"/>
    </row>
    <row r="45" spans="1:9">
      <c r="A45" s="10"/>
      <c r="B45" s="10"/>
      <c r="C45" s="10"/>
      <c r="D45" s="10"/>
      <c r="E45" s="10"/>
      <c r="F45" s="10"/>
      <c r="G45" s="10"/>
      <c r="H45" s="10"/>
      <c r="I45" s="10"/>
    </row>
    <row r="46" spans="1:9">
      <c r="A46" s="10"/>
      <c r="B46" s="10"/>
      <c r="C46" s="10"/>
      <c r="D46" s="10"/>
      <c r="E46" s="10"/>
      <c r="F46" s="10"/>
      <c r="G46" s="10"/>
      <c r="H46" s="10"/>
      <c r="I46" s="10"/>
    </row>
    <row r="47" spans="1:9">
      <c r="A47" s="10"/>
      <c r="B47" s="10"/>
      <c r="C47" s="10"/>
      <c r="D47" s="10"/>
      <c r="E47" s="10"/>
      <c r="F47" s="10"/>
      <c r="G47" s="10"/>
      <c r="H47" s="10"/>
      <c r="I47" s="10"/>
    </row>
    <row r="48" spans="1:9">
      <c r="A48" s="10"/>
      <c r="B48" s="10"/>
      <c r="C48" s="10"/>
      <c r="D48" s="10"/>
      <c r="E48" s="10"/>
      <c r="F48" s="10"/>
      <c r="G48" s="10"/>
      <c r="H48" s="10"/>
      <c r="I48" s="10"/>
    </row>
    <row r="49" spans="1:9">
      <c r="A49" s="10"/>
      <c r="B49" s="10"/>
      <c r="C49" s="10"/>
      <c r="D49" s="10"/>
      <c r="E49" s="10"/>
      <c r="F49" s="10"/>
      <c r="G49" s="10"/>
      <c r="H49" s="10"/>
      <c r="I49" s="10"/>
    </row>
    <row r="50" spans="1:9">
      <c r="A50" s="10"/>
      <c r="B50" s="10"/>
      <c r="C50" s="10"/>
      <c r="D50" s="10"/>
      <c r="E50" s="10"/>
      <c r="F50" s="10"/>
      <c r="G50" s="10"/>
      <c r="H50" s="10"/>
      <c r="I50" s="10"/>
    </row>
    <row r="51" spans="1:9">
      <c r="A51" s="10"/>
      <c r="B51" s="10"/>
      <c r="C51" s="10"/>
      <c r="D51" s="10"/>
      <c r="E51" s="10"/>
      <c r="F51" s="10"/>
      <c r="G51" s="10"/>
      <c r="H51" s="10"/>
      <c r="I51" s="10"/>
    </row>
    <row r="52" spans="1:9">
      <c r="A52" s="10"/>
      <c r="B52" s="10"/>
      <c r="C52" s="10"/>
      <c r="D52" s="10"/>
      <c r="E52" s="10"/>
      <c r="F52" s="10"/>
      <c r="G52" s="10"/>
      <c r="H52" s="10"/>
      <c r="I52" s="10"/>
    </row>
    <row r="53" spans="1:9">
      <c r="A53" s="10"/>
      <c r="B53" s="10"/>
      <c r="C53" s="10"/>
      <c r="D53" s="10"/>
      <c r="E53" s="10"/>
      <c r="F53" s="10"/>
      <c r="G53" s="10"/>
      <c r="H53" s="10"/>
      <c r="I53" s="10"/>
    </row>
    <row r="54" spans="1:9">
      <c r="A54" s="10"/>
      <c r="B54" s="10"/>
      <c r="C54" s="10"/>
      <c r="D54" s="10"/>
      <c r="E54" s="10"/>
      <c r="F54" s="10"/>
      <c r="G54" s="10"/>
      <c r="H54" s="10"/>
      <c r="I54" s="10"/>
    </row>
    <row r="55" spans="1:9">
      <c r="A55" s="10"/>
      <c r="B55" s="10"/>
      <c r="C55" s="10"/>
      <c r="D55" s="10"/>
      <c r="E55" s="10"/>
      <c r="F55" s="10"/>
      <c r="G55" s="10"/>
      <c r="H55" s="10"/>
      <c r="I55" s="10"/>
    </row>
    <row r="56" spans="1:9">
      <c r="A56" s="10"/>
      <c r="B56" s="10"/>
      <c r="C56" s="10"/>
      <c r="D56" s="10"/>
      <c r="E56" s="10"/>
      <c r="F56" s="10"/>
      <c r="G56" s="10"/>
      <c r="H56" s="10"/>
      <c r="I56" s="10"/>
    </row>
    <row r="57" spans="1:9">
      <c r="A57" s="10"/>
      <c r="B57" s="10"/>
      <c r="C57" s="10"/>
      <c r="D57" s="10"/>
      <c r="E57" s="10"/>
      <c r="F57" s="10"/>
      <c r="G57" s="10"/>
      <c r="H57" s="10"/>
      <c r="I57" s="10"/>
    </row>
    <row r="58" spans="1:9">
      <c r="A58" s="10"/>
      <c r="B58" s="10"/>
      <c r="C58" s="10"/>
      <c r="D58" s="10"/>
      <c r="E58" s="10"/>
      <c r="F58" s="10"/>
      <c r="G58" s="10"/>
      <c r="H58" s="10"/>
      <c r="I58" s="10"/>
    </row>
    <row r="59" spans="1:9">
      <c r="A59" s="10"/>
      <c r="B59" s="10"/>
      <c r="C59" s="10"/>
      <c r="D59" s="10"/>
      <c r="E59" s="10"/>
      <c r="F59" s="10"/>
      <c r="G59" s="10"/>
      <c r="H59" s="10"/>
      <c r="I59" s="10"/>
    </row>
    <row r="60" spans="1:9">
      <c r="A60" s="10"/>
      <c r="B60" s="10"/>
      <c r="C60" s="10"/>
      <c r="D60" s="10"/>
      <c r="E60" s="10"/>
      <c r="F60" s="10"/>
      <c r="G60" s="10"/>
      <c r="H60" s="10"/>
      <c r="I60" s="10"/>
    </row>
    <row r="61" spans="1:9">
      <c r="A61" s="10"/>
      <c r="B61" s="10"/>
      <c r="C61" s="10"/>
      <c r="D61" s="10"/>
      <c r="E61" s="10"/>
      <c r="F61" s="10"/>
      <c r="G61" s="10"/>
      <c r="H61" s="10"/>
      <c r="I61" s="10"/>
    </row>
    <row r="62" spans="1:9">
      <c r="A62" s="10"/>
      <c r="B62" s="10"/>
      <c r="C62" s="10"/>
      <c r="D62" s="10"/>
      <c r="E62" s="10"/>
      <c r="F62" s="10"/>
      <c r="G62" s="10"/>
      <c r="H62" s="10"/>
      <c r="I62" s="10"/>
    </row>
    <row r="63" spans="1:9">
      <c r="A63" s="10"/>
      <c r="B63" s="10"/>
      <c r="C63" s="10"/>
      <c r="D63" s="10"/>
      <c r="E63" s="10"/>
      <c r="F63" s="10"/>
      <c r="G63" s="10"/>
      <c r="H63" s="10"/>
      <c r="I63" s="10"/>
    </row>
    <row r="64" spans="1:9">
      <c r="A64" s="10"/>
      <c r="B64" s="10"/>
      <c r="C64" s="10"/>
      <c r="D64" s="10"/>
      <c r="E64" s="10"/>
      <c r="F64" s="10"/>
      <c r="G64" s="10"/>
      <c r="H64" s="10"/>
      <c r="I64" s="10"/>
    </row>
    <row r="65" spans="1:9">
      <c r="A65" s="10"/>
      <c r="B65" s="10"/>
      <c r="C65" s="10"/>
      <c r="D65" s="10"/>
      <c r="E65" s="10"/>
      <c r="F65" s="10"/>
      <c r="G65" s="10"/>
      <c r="H65" s="10"/>
      <c r="I65" s="10"/>
    </row>
    <row r="66" spans="1:9">
      <c r="A66" s="10"/>
      <c r="B66" s="10"/>
      <c r="C66" s="10"/>
      <c r="D66" s="10"/>
      <c r="E66" s="10"/>
      <c r="F66" s="10"/>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c r="B72" s="10"/>
      <c r="C72" s="10"/>
      <c r="D72" s="10"/>
      <c r="E72" s="10"/>
      <c r="F72" s="10"/>
      <c r="G72" s="10"/>
      <c r="H72" s="10"/>
      <c r="I72" s="10"/>
    </row>
    <row r="73" spans="1:9">
      <c r="A73" s="10"/>
      <c r="B73" s="10"/>
      <c r="C73" s="10"/>
      <c r="D73" s="10"/>
      <c r="E73" s="10"/>
      <c r="F73" s="10"/>
      <c r="G73" s="10"/>
      <c r="H73" s="10"/>
      <c r="I73" s="10"/>
    </row>
    <row r="74" spans="1:9">
      <c r="A74" s="10"/>
      <c r="B74" s="10"/>
      <c r="C74" s="10"/>
      <c r="D74" s="10"/>
      <c r="E74" s="10"/>
      <c r="F74" s="10"/>
      <c r="G74" s="10"/>
      <c r="H74" s="10"/>
      <c r="I74" s="10"/>
    </row>
    <row r="75" spans="1:9">
      <c r="A75" s="10"/>
      <c r="B75" s="10"/>
      <c r="C75" s="10"/>
      <c r="D75" s="10"/>
      <c r="E75" s="10"/>
      <c r="F75" s="10"/>
      <c r="G75" s="10"/>
      <c r="H75" s="10"/>
      <c r="I75" s="10"/>
    </row>
    <row r="76" spans="1:9">
      <c r="A76" s="10"/>
      <c r="B76" s="10"/>
      <c r="C76" s="10"/>
      <c r="D76" s="10"/>
      <c r="E76" s="10"/>
      <c r="F76" s="10"/>
      <c r="G76" s="10"/>
      <c r="H76" s="10"/>
      <c r="I76" s="10"/>
    </row>
    <row r="77" spans="1:9">
      <c r="A77" s="10"/>
      <c r="B77" s="10"/>
      <c r="C77" s="10"/>
      <c r="D77" s="10"/>
      <c r="E77" s="10"/>
      <c r="F77" s="10"/>
      <c r="G77" s="10"/>
      <c r="H77" s="10"/>
      <c r="I77" s="10"/>
    </row>
    <row r="78" spans="1:9">
      <c r="A78" s="10"/>
      <c r="B78" s="10"/>
      <c r="C78" s="10"/>
      <c r="D78" s="10"/>
      <c r="E78" s="10"/>
      <c r="F78" s="10"/>
      <c r="G78" s="10"/>
      <c r="H78" s="10"/>
      <c r="I78" s="10"/>
    </row>
    <row r="79" spans="1:9">
      <c r="A79" s="10"/>
      <c r="B79" s="10"/>
      <c r="C79" s="10"/>
      <c r="D79" s="10"/>
      <c r="E79" s="10"/>
      <c r="F79" s="10"/>
      <c r="G79" s="10"/>
      <c r="H79" s="10"/>
      <c r="I79" s="10"/>
    </row>
    <row r="80" spans="1:9">
      <c r="A80" s="10"/>
      <c r="B80" s="10"/>
      <c r="C80" s="10"/>
      <c r="D80" s="10"/>
      <c r="E80" s="10"/>
      <c r="F80" s="10"/>
      <c r="G80" s="10"/>
      <c r="H80" s="10"/>
      <c r="I80" s="10"/>
    </row>
    <row r="81" spans="1:9">
      <c r="A81" s="10"/>
      <c r="B81" s="10"/>
      <c r="C81" s="10"/>
      <c r="D81" s="10"/>
      <c r="E81" s="10"/>
      <c r="F81" s="10"/>
      <c r="G81" s="10"/>
      <c r="H81" s="10"/>
      <c r="I81" s="10"/>
    </row>
    <row r="82" spans="1:9">
      <c r="A82" s="10"/>
      <c r="B82" s="10"/>
      <c r="C82" s="10"/>
      <c r="D82" s="10"/>
      <c r="E82" s="10"/>
      <c r="F82" s="10"/>
      <c r="G82" s="10"/>
      <c r="H82" s="10"/>
      <c r="I82" s="10"/>
    </row>
    <row r="83" spans="1:9">
      <c r="A83" s="10"/>
      <c r="B83" s="10"/>
      <c r="C83" s="10"/>
      <c r="D83" s="10"/>
      <c r="E83" s="10"/>
      <c r="F83" s="10"/>
      <c r="G83" s="10"/>
      <c r="H83" s="10"/>
      <c r="I83" s="10"/>
    </row>
    <row r="84" spans="1:9">
      <c r="A84" s="10"/>
      <c r="B84" s="10"/>
      <c r="C84" s="10"/>
      <c r="D84" s="10"/>
      <c r="E84" s="10"/>
      <c r="F84" s="10"/>
      <c r="G84" s="10"/>
      <c r="H84" s="10"/>
      <c r="I84" s="10"/>
    </row>
    <row r="85" spans="1:9">
      <c r="A85" s="10"/>
      <c r="B85" s="10"/>
      <c r="C85" s="10"/>
      <c r="D85" s="10"/>
      <c r="E85" s="10"/>
      <c r="F85" s="10"/>
      <c r="G85" s="10"/>
      <c r="H85" s="10"/>
      <c r="I85" s="10"/>
    </row>
    <row r="86" spans="1:9">
      <c r="A86" s="10"/>
      <c r="B86" s="10"/>
      <c r="C86" s="10"/>
      <c r="D86" s="10"/>
      <c r="E86" s="10"/>
      <c r="F86" s="10"/>
      <c r="G86" s="10"/>
      <c r="H86" s="10"/>
      <c r="I86" s="10"/>
    </row>
    <row r="87" spans="1:9">
      <c r="A87" s="10"/>
      <c r="B87" s="10"/>
      <c r="C87" s="10"/>
      <c r="D87" s="10"/>
      <c r="E87" s="10"/>
      <c r="F87" s="10"/>
      <c r="G87" s="10"/>
      <c r="H87" s="10"/>
      <c r="I87" s="10"/>
    </row>
    <row r="88" spans="1:9">
      <c r="A88" s="10"/>
      <c r="B88" s="10"/>
      <c r="C88" s="10"/>
      <c r="D88" s="10"/>
      <c r="E88" s="10"/>
      <c r="F88" s="10"/>
      <c r="G88" s="10"/>
      <c r="H88" s="10"/>
      <c r="I88" s="10"/>
    </row>
    <row r="89" spans="1:9">
      <c r="A89" s="10"/>
      <c r="B89" s="10"/>
      <c r="C89" s="10"/>
      <c r="D89" s="10"/>
      <c r="E89" s="10"/>
      <c r="F89" s="10"/>
      <c r="G89" s="10"/>
      <c r="H89" s="10"/>
      <c r="I89" s="10"/>
    </row>
    <row r="90" spans="1:9">
      <c r="A90" s="10"/>
      <c r="B90" s="10"/>
      <c r="C90" s="10"/>
      <c r="D90" s="10"/>
      <c r="E90" s="10"/>
      <c r="F90" s="10"/>
      <c r="G90" s="10"/>
      <c r="H90" s="10"/>
      <c r="I90" s="10"/>
    </row>
    <row r="91" spans="1:9">
      <c r="A91" s="10"/>
      <c r="B91" s="10"/>
      <c r="C91" s="10"/>
      <c r="D91" s="10"/>
      <c r="E91" s="10"/>
      <c r="F91" s="10"/>
      <c r="G91" s="10"/>
      <c r="H91" s="10"/>
      <c r="I91" s="10"/>
    </row>
    <row r="92" spans="1:9">
      <c r="A92" s="10"/>
      <c r="B92" s="10"/>
      <c r="C92" s="10"/>
      <c r="D92" s="10"/>
      <c r="E92" s="10"/>
      <c r="F92" s="10"/>
      <c r="G92" s="10"/>
      <c r="H92" s="10"/>
      <c r="I92" s="10"/>
    </row>
    <row r="93" spans="1:9">
      <c r="A93" s="10"/>
      <c r="B93" s="10"/>
      <c r="C93" s="10"/>
      <c r="D93" s="10"/>
      <c r="E93" s="10"/>
      <c r="F93" s="10"/>
      <c r="G93" s="10"/>
      <c r="H93" s="10"/>
      <c r="I93" s="10"/>
    </row>
    <row r="94" spans="1:9">
      <c r="A94" s="10"/>
      <c r="B94" s="10"/>
      <c r="C94" s="10"/>
      <c r="D94" s="10"/>
      <c r="E94" s="10"/>
      <c r="F94" s="10"/>
      <c r="G94" s="10"/>
      <c r="H94" s="10"/>
      <c r="I94" s="10"/>
    </row>
    <row r="95" spans="1:9">
      <c r="A95" s="10"/>
      <c r="B95" s="10"/>
      <c r="C95" s="10"/>
      <c r="D95" s="10"/>
      <c r="E95" s="10"/>
      <c r="F95" s="10"/>
      <c r="G95" s="10"/>
      <c r="H95" s="10"/>
      <c r="I95" s="10"/>
    </row>
    <row r="96" spans="1:9">
      <c r="A96" s="10"/>
      <c r="B96" s="10"/>
      <c r="C96" s="10"/>
      <c r="D96" s="10"/>
      <c r="E96" s="10"/>
      <c r="F96" s="10"/>
      <c r="G96" s="10"/>
      <c r="H96" s="10"/>
      <c r="I96" s="10"/>
    </row>
    <row r="97" spans="1:9">
      <c r="A97" s="10"/>
      <c r="B97" s="10"/>
      <c r="C97" s="10"/>
      <c r="D97" s="10"/>
      <c r="E97" s="10"/>
      <c r="F97" s="10"/>
      <c r="G97" s="10"/>
      <c r="H97" s="10"/>
      <c r="I97" s="10"/>
    </row>
    <row r="98" spans="1:9">
      <c r="A98" s="10"/>
      <c r="B98" s="10"/>
      <c r="C98" s="10"/>
      <c r="D98" s="10"/>
      <c r="E98" s="10"/>
      <c r="F98" s="10"/>
      <c r="G98" s="10"/>
      <c r="H98" s="10"/>
      <c r="I98" s="10"/>
    </row>
    <row r="99" spans="1:9">
      <c r="A99" s="10"/>
      <c r="B99" s="10"/>
      <c r="C99" s="10"/>
      <c r="D99" s="10"/>
      <c r="E99" s="10"/>
      <c r="F99" s="10"/>
      <c r="G99" s="10"/>
      <c r="H99" s="10"/>
      <c r="I99" s="10"/>
    </row>
    <row r="100" spans="1:9">
      <c r="A100" s="10"/>
      <c r="B100" s="10"/>
      <c r="C100" s="10"/>
      <c r="D100" s="10"/>
      <c r="E100" s="10"/>
      <c r="F100" s="10"/>
      <c r="G100" s="10"/>
      <c r="H100" s="10"/>
      <c r="I100" s="10"/>
    </row>
    <row r="101" spans="1:9">
      <c r="A101" s="10"/>
      <c r="B101" s="10"/>
      <c r="C101" s="10"/>
      <c r="D101" s="10"/>
      <c r="E101" s="10"/>
      <c r="F101" s="10"/>
      <c r="G101" s="10"/>
      <c r="H101" s="10"/>
      <c r="I101" s="10"/>
    </row>
    <row r="102" spans="1:9">
      <c r="A102" s="10"/>
      <c r="B102" s="10"/>
      <c r="C102" s="10"/>
      <c r="D102" s="10"/>
      <c r="E102" s="10"/>
      <c r="F102" s="10"/>
      <c r="G102" s="10"/>
      <c r="H102" s="10"/>
      <c r="I102" s="10"/>
    </row>
    <row r="103" spans="1:9">
      <c r="A103" s="10"/>
      <c r="B103" s="10"/>
      <c r="C103" s="10"/>
      <c r="D103" s="10"/>
      <c r="E103" s="10"/>
      <c r="F103" s="10"/>
      <c r="G103" s="10"/>
      <c r="H103" s="10"/>
      <c r="I103" s="10"/>
    </row>
    <row r="104" spans="1:9">
      <c r="A104" s="10"/>
      <c r="B104" s="10"/>
      <c r="C104" s="10"/>
      <c r="D104" s="10"/>
      <c r="E104" s="10"/>
      <c r="F104" s="10"/>
      <c r="G104" s="10"/>
      <c r="H104" s="10"/>
      <c r="I104" s="10"/>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8509-4469-4CA1-837E-28DCE856C1A1}">
  <sheetPr>
    <tabColor rgb="FF92D050"/>
  </sheetPr>
  <dimension ref="A1:N38"/>
  <sheetViews>
    <sheetView view="pageBreakPreview" zoomScale="60" zoomScaleNormal="80" workbookViewId="0">
      <selection activeCell="G5" sqref="G5"/>
    </sheetView>
  </sheetViews>
  <sheetFormatPr defaultRowHeight="15"/>
  <cols>
    <col min="1" max="1" width="21.5703125" customWidth="1"/>
    <col min="2" max="2" width="45.7109375" customWidth="1"/>
    <col min="3" max="3" width="23.28515625" customWidth="1"/>
    <col min="4" max="4" width="24" customWidth="1"/>
    <col min="5" max="5" width="29.28515625" customWidth="1"/>
    <col min="6" max="6" width="28.42578125" customWidth="1"/>
    <col min="7" max="7" width="27.28515625" customWidth="1"/>
    <col min="8" max="8" width="33.42578125" customWidth="1"/>
    <col min="9" max="9" width="18.7109375" customWidth="1"/>
    <col min="10" max="10" width="21.28515625" customWidth="1"/>
    <col min="11" max="11" width="4.42578125" customWidth="1"/>
    <col min="12" max="12" width="22.7109375" customWidth="1"/>
    <col min="13" max="13" width="17.28515625" customWidth="1"/>
  </cols>
  <sheetData>
    <row r="1" spans="1:14" ht="20.25">
      <c r="A1" s="21" t="s">
        <v>1</v>
      </c>
      <c r="C1" s="10"/>
      <c r="D1" s="10"/>
      <c r="E1" s="10"/>
      <c r="F1" s="10"/>
      <c r="G1" s="10"/>
      <c r="H1" s="10"/>
      <c r="I1" s="10"/>
      <c r="J1" s="10"/>
      <c r="K1" s="10"/>
      <c r="L1" s="10"/>
      <c r="M1" s="10"/>
      <c r="N1" s="10"/>
    </row>
    <row r="2" spans="1:14" ht="15.75">
      <c r="A2" s="60" t="s">
        <v>9</v>
      </c>
      <c r="C2" s="10"/>
      <c r="D2" s="10"/>
      <c r="E2" s="10"/>
      <c r="F2" s="10"/>
      <c r="G2" s="10"/>
      <c r="H2" s="10"/>
      <c r="I2" s="10"/>
      <c r="J2" s="10"/>
      <c r="K2" s="10"/>
      <c r="L2" s="10"/>
      <c r="M2" s="10"/>
      <c r="N2" s="10"/>
    </row>
    <row r="3" spans="1:14">
      <c r="A3" s="23" t="s">
        <v>62</v>
      </c>
      <c r="C3" s="10"/>
      <c r="D3" s="10"/>
      <c r="E3" s="10"/>
      <c r="F3" s="10"/>
      <c r="G3" s="10"/>
      <c r="H3" s="10"/>
      <c r="I3" s="10"/>
      <c r="J3" s="10"/>
      <c r="K3" s="10"/>
      <c r="L3" s="10"/>
      <c r="M3" s="10"/>
      <c r="N3" s="10"/>
    </row>
    <row r="4" spans="1:14">
      <c r="A4" s="10"/>
      <c r="C4" s="10"/>
      <c r="D4" s="10"/>
      <c r="E4" s="24" t="s">
        <v>0</v>
      </c>
      <c r="F4" s="10"/>
      <c r="G4" s="10"/>
      <c r="H4" s="10"/>
      <c r="I4" s="10"/>
      <c r="J4" s="10"/>
      <c r="K4" s="10"/>
      <c r="L4" s="10"/>
      <c r="M4" s="10"/>
      <c r="N4" s="10"/>
    </row>
    <row r="5" spans="1:14" ht="16.5" thickBot="1">
      <c r="A5" s="60"/>
      <c r="C5" s="10"/>
      <c r="D5" s="10"/>
      <c r="E5" s="10"/>
      <c r="F5" s="10"/>
      <c r="G5" s="10"/>
      <c r="H5" s="10"/>
      <c r="I5" s="10"/>
      <c r="J5" s="10"/>
      <c r="K5" s="10"/>
      <c r="L5" s="10"/>
      <c r="M5" s="10"/>
      <c r="N5" s="10"/>
    </row>
    <row r="6" spans="1:14" ht="18.75" thickBot="1">
      <c r="A6" s="25" t="str">
        <f>+'S&amp;D'!A12</f>
        <v>Air Freight Carriers</v>
      </c>
      <c r="B6" s="194"/>
      <c r="C6" s="10"/>
      <c r="D6" s="10"/>
      <c r="E6" s="10"/>
      <c r="F6" s="10"/>
      <c r="G6" s="10"/>
      <c r="H6" s="10"/>
    </row>
    <row r="7" spans="1:14" ht="16.5" thickBot="1">
      <c r="A7" s="60"/>
      <c r="C7" s="10"/>
      <c r="D7" s="26"/>
      <c r="E7" s="26"/>
      <c r="F7" s="26"/>
      <c r="G7" s="10"/>
      <c r="H7" s="10"/>
    </row>
    <row r="8" spans="1:14" ht="20.25">
      <c r="C8" s="10"/>
      <c r="D8" s="10"/>
      <c r="E8" s="29" t="s">
        <v>384</v>
      </c>
      <c r="F8" s="10"/>
      <c r="G8" s="10"/>
      <c r="H8" s="10"/>
    </row>
    <row r="9" spans="1:14" ht="18.75" thickBot="1">
      <c r="B9" s="28"/>
      <c r="C9" s="10"/>
      <c r="D9" s="26"/>
      <c r="E9" s="30" t="s">
        <v>76</v>
      </c>
      <c r="F9" s="26"/>
      <c r="G9" s="10"/>
      <c r="H9" s="10"/>
    </row>
    <row r="10" spans="1:14" ht="15.75" thickBot="1">
      <c r="B10" s="31" t="s">
        <v>0</v>
      </c>
      <c r="C10" s="31" t="s">
        <v>0</v>
      </c>
      <c r="D10" s="31" t="s">
        <v>0</v>
      </c>
      <c r="E10" s="31" t="s">
        <v>0</v>
      </c>
      <c r="F10" s="31" t="s">
        <v>0</v>
      </c>
      <c r="G10" s="31" t="s">
        <v>0</v>
      </c>
      <c r="H10" s="26"/>
    </row>
    <row r="11" spans="1:14">
      <c r="B11" s="32" t="s">
        <v>0</v>
      </c>
      <c r="C11" s="32" t="s">
        <v>3</v>
      </c>
      <c r="D11" s="32" t="s">
        <v>362</v>
      </c>
      <c r="E11" s="32" t="s">
        <v>363</v>
      </c>
      <c r="F11" s="32" t="s">
        <v>236</v>
      </c>
      <c r="G11" s="32" t="s">
        <v>383</v>
      </c>
      <c r="H11" s="32" t="s">
        <v>383</v>
      </c>
    </row>
    <row r="12" spans="1:14" ht="15.75" thickBot="1">
      <c r="B12" s="34" t="s">
        <v>2</v>
      </c>
      <c r="C12" s="34" t="s">
        <v>4</v>
      </c>
      <c r="D12" s="34" t="s">
        <v>27</v>
      </c>
      <c r="E12" s="34" t="s">
        <v>171</v>
      </c>
      <c r="F12" s="34" t="s">
        <v>385</v>
      </c>
      <c r="G12" s="34" t="s">
        <v>395</v>
      </c>
      <c r="H12" s="34" t="s">
        <v>28</v>
      </c>
    </row>
    <row r="13" spans="1:14">
      <c r="B13" s="36" t="s">
        <v>0</v>
      </c>
      <c r="C13" s="36" t="s">
        <v>0</v>
      </c>
      <c r="D13" s="37" t="s">
        <v>115</v>
      </c>
      <c r="E13" s="36" t="s">
        <v>116</v>
      </c>
      <c r="F13" s="36" t="s">
        <v>0</v>
      </c>
      <c r="G13" s="36" t="s">
        <v>116</v>
      </c>
      <c r="H13" s="36" t="s">
        <v>0</v>
      </c>
    </row>
    <row r="14" spans="1:14">
      <c r="B14" s="32"/>
      <c r="C14" s="32"/>
      <c r="D14" s="32"/>
      <c r="E14" s="32"/>
      <c r="F14" s="32"/>
      <c r="G14" s="32"/>
      <c r="H14" s="32"/>
    </row>
    <row r="15" spans="1:14">
      <c r="B15" s="10"/>
      <c r="C15" s="10"/>
      <c r="D15" s="10"/>
      <c r="E15" s="10"/>
      <c r="F15" s="10"/>
      <c r="G15" s="10"/>
      <c r="H15" s="10"/>
    </row>
    <row r="16" spans="1:14" ht="15.75">
      <c r="B16" s="60" t="str">
        <f>+'S&amp;D'!A22</f>
        <v>Air Transport Services Group</v>
      </c>
      <c r="C16" s="86" t="str">
        <f>+'S&amp;D'!B22</f>
        <v>ATSG</v>
      </c>
      <c r="D16" s="189">
        <f>+'S&amp;D'!G22</f>
        <v>25.98</v>
      </c>
      <c r="E16" s="313">
        <v>27.35</v>
      </c>
      <c r="F16" s="407">
        <f>D16/E16</f>
        <v>0.94990859232175495</v>
      </c>
      <c r="G16" s="313">
        <v>19.600000000000001</v>
      </c>
      <c r="H16" s="407">
        <f>D16/G16</f>
        <v>1.3255102040816327</v>
      </c>
    </row>
    <row r="17" spans="1:8" ht="15.75">
      <c r="B17" s="60" t="str">
        <f>+'S&amp;D'!A23</f>
        <v>Atlas Air</v>
      </c>
      <c r="C17" s="86" t="str">
        <f>+'S&amp;D'!B23</f>
        <v>AAWW</v>
      </c>
      <c r="D17" s="189">
        <f>+'S&amp;D'!G23</f>
        <v>100.8</v>
      </c>
      <c r="E17" s="313">
        <v>165.2</v>
      </c>
      <c r="F17" s="407">
        <f t="shared" ref="F17:F19" si="0">D17/E17</f>
        <v>0.61016949152542377</v>
      </c>
      <c r="G17" s="313">
        <v>114.8</v>
      </c>
      <c r="H17" s="407">
        <f t="shared" ref="H17:H19" si="1">D17/G17</f>
        <v>0.87804878048780488</v>
      </c>
    </row>
    <row r="18" spans="1:8" ht="15.75">
      <c r="B18" s="60" t="str">
        <f>+'S&amp;D'!A24</f>
        <v xml:space="preserve">FedEx Corp </v>
      </c>
      <c r="C18" s="86" t="str">
        <f>+'S&amp;D'!B24</f>
        <v>FDX</v>
      </c>
      <c r="D18" s="189">
        <f>+'S&amp;D'!G24</f>
        <v>173.2</v>
      </c>
      <c r="E18" s="313">
        <v>359.87</v>
      </c>
      <c r="F18" s="407">
        <f t="shared" si="0"/>
        <v>0.48128490843915855</v>
      </c>
      <c r="G18" s="313">
        <v>95.98</v>
      </c>
      <c r="H18" s="407">
        <f t="shared" si="1"/>
        <v>1.804542613044384</v>
      </c>
    </row>
    <row r="19" spans="1:8" ht="15.75">
      <c r="B19" s="60" t="str">
        <f>+'S&amp;D'!A25</f>
        <v xml:space="preserve">United Parcel Service </v>
      </c>
      <c r="C19" s="86" t="str">
        <f>+'S&amp;D'!B25</f>
        <v>UPS</v>
      </c>
      <c r="D19" s="189">
        <f>+'S&amp;D'!G25</f>
        <v>173.84</v>
      </c>
      <c r="E19" s="313">
        <v>115.75</v>
      </c>
      <c r="F19" s="407">
        <f t="shared" si="0"/>
        <v>1.5018574514038878</v>
      </c>
      <c r="G19" s="313">
        <v>22.8</v>
      </c>
      <c r="H19" s="407">
        <f t="shared" si="1"/>
        <v>7.6245614035087721</v>
      </c>
    </row>
    <row r="20" spans="1:8" ht="11.25" customHeight="1" thickBot="1">
      <c r="B20" s="10"/>
      <c r="C20" s="67"/>
      <c r="D20" s="67"/>
      <c r="E20" s="67"/>
      <c r="F20" s="408"/>
      <c r="G20" s="67"/>
      <c r="H20" s="408"/>
    </row>
    <row r="21" spans="1:8" ht="15.75" thickTop="1">
      <c r="B21" s="10"/>
      <c r="D21" s="12" t="s">
        <v>45</v>
      </c>
      <c r="E21" s="391">
        <v>359.87</v>
      </c>
      <c r="F21" s="391">
        <v>1.5</v>
      </c>
      <c r="G21" s="391">
        <v>114.8</v>
      </c>
      <c r="H21" s="391">
        <v>7.62</v>
      </c>
    </row>
    <row r="22" spans="1:8">
      <c r="B22" s="10"/>
      <c r="D22" s="323" t="s">
        <v>46</v>
      </c>
      <c r="E22" s="392">
        <v>27.35</v>
      </c>
      <c r="F22" s="392">
        <v>0.48</v>
      </c>
      <c r="G22" s="392">
        <v>19.600000000000001</v>
      </c>
      <c r="H22" s="392">
        <v>0.88</v>
      </c>
    </row>
    <row r="23" spans="1:8">
      <c r="B23" s="10"/>
      <c r="D23" s="12" t="s">
        <v>18</v>
      </c>
      <c r="E23" s="68" t="s">
        <v>0</v>
      </c>
      <c r="F23" s="19">
        <f>MEDIAN(F16:F19)</f>
        <v>0.78003904192358942</v>
      </c>
      <c r="G23" s="68" t="s">
        <v>0</v>
      </c>
      <c r="H23" s="16">
        <f>MEDIAN(H16:H19)</f>
        <v>1.5650264085630083</v>
      </c>
    </row>
    <row r="24" spans="1:8">
      <c r="B24" s="10"/>
      <c r="D24" s="12" t="s">
        <v>443</v>
      </c>
      <c r="E24" s="15" t="s">
        <v>0</v>
      </c>
      <c r="F24" s="17">
        <f>AVERAGE(F16:F19)</f>
        <v>0.88580511092255632</v>
      </c>
      <c r="G24" s="15" t="s">
        <v>0</v>
      </c>
      <c r="H24" s="16">
        <f>AVERAGE(H16:H19)</f>
        <v>2.9081657502806486</v>
      </c>
    </row>
    <row r="25" spans="1:8">
      <c r="B25" s="10"/>
      <c r="C25" s="10"/>
      <c r="D25" s="10"/>
      <c r="E25" s="10"/>
      <c r="F25" s="10"/>
      <c r="G25" s="10"/>
      <c r="H25" s="10"/>
    </row>
    <row r="26" spans="1:8">
      <c r="B26" s="10"/>
      <c r="C26" s="10"/>
      <c r="D26" s="10"/>
      <c r="E26" s="10"/>
      <c r="F26" s="10"/>
      <c r="G26" s="10"/>
      <c r="H26" s="10"/>
    </row>
    <row r="27" spans="1:8" ht="15.75" thickBot="1">
      <c r="B27" s="10"/>
      <c r="C27" s="10"/>
      <c r="D27" s="10"/>
      <c r="E27" s="10"/>
      <c r="F27" s="10"/>
      <c r="H27" s="10"/>
    </row>
    <row r="28" spans="1:8" ht="21" thickBot="1">
      <c r="B28" s="71" t="s">
        <v>0</v>
      </c>
      <c r="C28" s="10"/>
      <c r="D28" s="21" t="s">
        <v>126</v>
      </c>
      <c r="E28" s="21"/>
      <c r="F28" s="454">
        <v>0.89</v>
      </c>
      <c r="H28" s="454">
        <v>2.91</v>
      </c>
    </row>
    <row r="29" spans="1:8" ht="16.5">
      <c r="B29" s="71" t="s">
        <v>0</v>
      </c>
      <c r="C29" s="10"/>
      <c r="D29" s="10"/>
      <c r="E29" s="10"/>
      <c r="F29" s="10"/>
      <c r="H29" s="10"/>
    </row>
    <row r="30" spans="1:8" ht="16.5">
      <c r="B30" s="71"/>
      <c r="C30" s="10"/>
      <c r="D30" s="10"/>
      <c r="E30" s="10"/>
      <c r="F30" s="10"/>
      <c r="H30" s="10"/>
    </row>
    <row r="31" spans="1:8" ht="16.5">
      <c r="A31" s="102" t="s">
        <v>386</v>
      </c>
      <c r="B31" s="71"/>
      <c r="C31" s="10"/>
      <c r="D31" s="10"/>
      <c r="E31" s="10"/>
      <c r="F31" s="10"/>
      <c r="H31" s="10"/>
    </row>
    <row r="32" spans="1:8" ht="16.5">
      <c r="A32" s="102" t="s">
        <v>367</v>
      </c>
      <c r="B32" s="71"/>
      <c r="C32" s="10"/>
      <c r="D32" s="10"/>
      <c r="E32" s="10"/>
      <c r="F32" s="10"/>
      <c r="G32" s="10"/>
      <c r="H32" s="10"/>
    </row>
    <row r="33" spans="1:14" ht="16.5">
      <c r="B33" s="71"/>
      <c r="C33" s="10"/>
      <c r="D33" s="10"/>
      <c r="E33" s="10"/>
      <c r="F33" s="10"/>
      <c r="G33" s="10"/>
      <c r="H33" s="10"/>
    </row>
    <row r="34" spans="1:14" ht="16.5">
      <c r="A34" s="102" t="s">
        <v>387</v>
      </c>
      <c r="B34" s="71"/>
      <c r="C34" s="10"/>
      <c r="D34" s="10"/>
      <c r="E34" s="10"/>
      <c r="F34" s="10"/>
      <c r="G34" s="10"/>
      <c r="H34" s="10"/>
    </row>
    <row r="35" spans="1:14" ht="16.5">
      <c r="A35" s="102" t="s">
        <v>365</v>
      </c>
      <c r="B35" s="71"/>
      <c r="C35" s="10"/>
      <c r="D35" s="10"/>
      <c r="E35" s="10"/>
      <c r="F35" s="10"/>
      <c r="G35" s="10"/>
      <c r="H35" s="10"/>
    </row>
    <row r="36" spans="1:14" ht="16.5">
      <c r="A36" s="102" t="s">
        <v>366</v>
      </c>
      <c r="B36" s="71"/>
      <c r="C36" s="10"/>
      <c r="D36" s="10"/>
      <c r="E36" s="10"/>
      <c r="F36" s="10"/>
      <c r="G36" s="10"/>
      <c r="H36" s="10"/>
    </row>
    <row r="37" spans="1:14">
      <c r="B37" s="10"/>
      <c r="C37" s="10"/>
      <c r="D37" s="10"/>
      <c r="E37" s="10"/>
      <c r="F37" s="10"/>
      <c r="G37" s="10"/>
      <c r="H37" s="10"/>
      <c r="I37" s="10"/>
      <c r="J37" s="10"/>
      <c r="K37" s="10"/>
      <c r="L37" s="10"/>
      <c r="M37" s="10"/>
      <c r="N37" s="10"/>
    </row>
    <row r="38" spans="1:14">
      <c r="B38" s="10"/>
      <c r="C38" s="10"/>
      <c r="D38" s="10"/>
      <c r="E38" s="10"/>
      <c r="F38" s="10"/>
      <c r="G38" s="10"/>
      <c r="H38" s="10"/>
      <c r="I38" s="10"/>
      <c r="J38" s="10"/>
      <c r="K38" s="10"/>
      <c r="L38" s="10"/>
      <c r="M38" s="10"/>
      <c r="N38" s="10"/>
    </row>
  </sheetData>
  <pageMargins left="0.25" right="0.25"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zoomScale="80" zoomScaleNormal="80" zoomScaleSheetLayoutView="80" workbookViewId="0">
      <selection activeCell="G13" sqref="G13"/>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1" t="s">
        <v>1</v>
      </c>
      <c r="C1" s="10"/>
      <c r="D1" s="10"/>
      <c r="E1" s="10"/>
      <c r="F1" s="10"/>
      <c r="G1" s="10"/>
      <c r="H1" s="10"/>
      <c r="I1" s="10"/>
      <c r="J1" s="10"/>
      <c r="K1" s="10"/>
    </row>
    <row r="2" spans="1:11" ht="15.75">
      <c r="A2" s="22" t="s">
        <v>9</v>
      </c>
      <c r="C2" s="10"/>
      <c r="D2" s="10"/>
      <c r="E2" s="10"/>
      <c r="F2" s="10"/>
      <c r="G2" s="10"/>
      <c r="H2" s="10"/>
      <c r="I2" s="10"/>
      <c r="J2" s="10"/>
      <c r="K2" s="10"/>
    </row>
    <row r="3" spans="1:11" ht="17.25" customHeight="1">
      <c r="A3" s="23" t="s">
        <v>62</v>
      </c>
      <c r="C3" s="10"/>
      <c r="D3" s="10"/>
      <c r="E3" s="10"/>
      <c r="F3" s="10"/>
      <c r="G3" s="10"/>
      <c r="H3" s="10"/>
      <c r="I3" s="10"/>
      <c r="J3" s="10"/>
      <c r="K3" s="10"/>
    </row>
    <row r="4" spans="1:11" ht="17.25" customHeight="1">
      <c r="B4" s="23"/>
      <c r="C4" s="10"/>
      <c r="D4" s="10"/>
      <c r="E4" s="10"/>
      <c r="F4" s="10"/>
      <c r="G4" s="10"/>
      <c r="H4" s="10"/>
      <c r="I4" s="10"/>
      <c r="J4" s="10"/>
      <c r="K4" s="10"/>
    </row>
    <row r="5" spans="1:11" ht="17.25" customHeight="1">
      <c r="B5" s="149"/>
      <c r="C5" s="10"/>
      <c r="D5" s="10"/>
      <c r="E5" s="10"/>
      <c r="F5" s="10"/>
      <c r="G5" s="10"/>
      <c r="H5" s="10"/>
      <c r="I5" s="10"/>
      <c r="J5" s="10"/>
      <c r="K5" s="10"/>
    </row>
    <row r="6" spans="1:11" ht="17.25" customHeight="1">
      <c r="B6" s="149"/>
      <c r="C6" s="10"/>
      <c r="D6" s="10"/>
      <c r="E6" s="10"/>
      <c r="F6" s="10"/>
      <c r="G6" s="10"/>
      <c r="H6" s="10"/>
      <c r="I6" s="10"/>
      <c r="J6" s="10"/>
      <c r="K6" s="10"/>
    </row>
    <row r="7" spans="1:11" ht="17.25" customHeight="1">
      <c r="B7" s="149"/>
      <c r="C7" s="10"/>
      <c r="D7" s="10"/>
      <c r="E7" s="10"/>
      <c r="F7" s="10"/>
      <c r="G7" s="10"/>
      <c r="H7" s="10"/>
      <c r="I7" s="10"/>
      <c r="J7" s="10"/>
      <c r="K7" s="10"/>
    </row>
    <row r="8" spans="1:11">
      <c r="B8" s="23"/>
      <c r="C8" s="10"/>
      <c r="D8" s="10"/>
      <c r="E8" s="10"/>
      <c r="F8" s="10"/>
      <c r="G8" s="10"/>
      <c r="H8" s="10"/>
      <c r="I8" s="10"/>
      <c r="J8" s="10"/>
      <c r="K8" s="10"/>
    </row>
    <row r="9" spans="1:11" ht="18">
      <c r="B9" s="10"/>
      <c r="C9" s="10"/>
      <c r="D9" s="74" t="s">
        <v>0</v>
      </c>
      <c r="E9" s="10"/>
      <c r="F9" s="10"/>
      <c r="G9" s="10"/>
      <c r="H9" s="10"/>
      <c r="I9" s="10"/>
      <c r="J9" s="10"/>
      <c r="K9" s="10"/>
    </row>
    <row r="10" spans="1:11" ht="18">
      <c r="B10" s="10"/>
      <c r="C10" s="10"/>
      <c r="D10" s="74" t="s">
        <v>64</v>
      </c>
      <c r="E10" s="10"/>
      <c r="F10" s="10"/>
      <c r="G10" s="10"/>
      <c r="H10" s="10"/>
      <c r="I10" s="10"/>
      <c r="J10" s="10"/>
      <c r="K10" s="10"/>
    </row>
    <row r="11" spans="1:11">
      <c r="B11" s="10"/>
      <c r="C11" s="10"/>
      <c r="D11" s="10"/>
      <c r="E11" s="10"/>
      <c r="F11" s="10"/>
      <c r="G11" s="10"/>
      <c r="H11" s="10"/>
      <c r="I11" s="10"/>
      <c r="J11" s="10"/>
      <c r="K11" s="10"/>
    </row>
    <row r="12" spans="1:11">
      <c r="B12" s="10"/>
      <c r="C12" s="10"/>
      <c r="D12" s="10"/>
      <c r="E12" s="10"/>
      <c r="F12" s="10"/>
      <c r="G12" s="10"/>
      <c r="H12" s="10"/>
      <c r="I12" s="10"/>
      <c r="J12" s="10"/>
      <c r="K12" s="10"/>
    </row>
    <row r="13" spans="1:11">
      <c r="B13" s="10"/>
      <c r="C13" s="10"/>
      <c r="D13" s="10"/>
      <c r="E13" s="24"/>
      <c r="F13" s="10"/>
      <c r="G13" s="10"/>
      <c r="H13" s="10"/>
      <c r="I13" s="10"/>
      <c r="J13" s="10"/>
      <c r="K13" s="10"/>
    </row>
    <row r="14" spans="1:11">
      <c r="B14" s="10"/>
      <c r="C14" s="10"/>
      <c r="D14" s="10"/>
      <c r="E14" s="10"/>
      <c r="F14" s="10"/>
      <c r="G14" s="10"/>
      <c r="H14" s="10"/>
      <c r="I14" s="10"/>
      <c r="J14" s="10"/>
      <c r="K14" s="10"/>
    </row>
    <row r="15" spans="1:11" ht="15.75" thickBot="1">
      <c r="B15" s="10"/>
      <c r="C15" s="26"/>
      <c r="D15" s="26"/>
      <c r="E15" s="26"/>
      <c r="F15" s="10"/>
      <c r="G15" s="10"/>
      <c r="H15" s="10"/>
      <c r="I15" s="10"/>
      <c r="J15" s="10"/>
      <c r="K15" s="10"/>
    </row>
    <row r="16" spans="1:11" ht="20.25">
      <c r="B16" s="10"/>
      <c r="C16" s="10"/>
      <c r="D16" s="29" t="str">
        <f>+'S&amp;D'!A12</f>
        <v>Air Freight Carriers</v>
      </c>
      <c r="E16" s="10"/>
      <c r="F16" s="10"/>
      <c r="G16" s="10"/>
      <c r="H16" s="10"/>
      <c r="I16" s="10"/>
      <c r="J16" s="10"/>
      <c r="K16" s="10"/>
    </row>
    <row r="17" spans="2:11" ht="15.75" thickBot="1">
      <c r="B17" s="10"/>
      <c r="C17" s="26"/>
      <c r="D17" s="34" t="s">
        <v>0</v>
      </c>
      <c r="E17" s="26"/>
      <c r="F17" s="10"/>
      <c r="G17" s="10"/>
      <c r="H17" s="10"/>
      <c r="I17" s="10"/>
      <c r="J17" s="10"/>
      <c r="K17" s="10"/>
    </row>
    <row r="18" spans="2:11" ht="15.75" thickBot="1">
      <c r="B18" s="26"/>
      <c r="C18" s="26"/>
      <c r="D18" s="34" t="s">
        <v>0</v>
      </c>
      <c r="E18" s="26"/>
      <c r="F18" s="26"/>
      <c r="G18" s="26"/>
      <c r="H18" s="10"/>
      <c r="I18" s="10"/>
      <c r="J18" s="10"/>
      <c r="K18" s="10"/>
    </row>
    <row r="19" spans="2:11">
      <c r="B19" s="32" t="s">
        <v>31</v>
      </c>
      <c r="C19" s="32" t="s">
        <v>32</v>
      </c>
      <c r="D19" s="32" t="s">
        <v>33</v>
      </c>
      <c r="E19" s="32" t="s">
        <v>68</v>
      </c>
      <c r="F19" s="32" t="s">
        <v>33</v>
      </c>
      <c r="G19" s="32" t="s">
        <v>34</v>
      </c>
      <c r="H19" s="10"/>
      <c r="I19" s="10"/>
      <c r="J19" s="10"/>
      <c r="K19" s="10"/>
    </row>
    <row r="20" spans="2:11" ht="15.75" thickBot="1">
      <c r="B20" s="34" t="s">
        <v>32</v>
      </c>
      <c r="C20" s="34" t="s">
        <v>35</v>
      </c>
      <c r="D20" s="34" t="s">
        <v>36</v>
      </c>
      <c r="E20" s="34" t="s">
        <v>23</v>
      </c>
      <c r="F20" s="34" t="s">
        <v>37</v>
      </c>
      <c r="G20" s="34" t="s">
        <v>38</v>
      </c>
      <c r="H20" s="10"/>
      <c r="I20" s="10"/>
      <c r="J20" s="10"/>
      <c r="K20" s="10"/>
    </row>
    <row r="21" spans="2:11">
      <c r="B21" s="36" t="s">
        <v>0</v>
      </c>
      <c r="C21" s="36" t="s">
        <v>0</v>
      </c>
      <c r="D21" s="36" t="s">
        <v>0</v>
      </c>
      <c r="E21" s="36" t="s">
        <v>0</v>
      </c>
      <c r="F21" s="36" t="s">
        <v>0</v>
      </c>
      <c r="G21" s="36" t="s">
        <v>0</v>
      </c>
      <c r="H21" s="10"/>
      <c r="I21" s="10"/>
      <c r="J21" s="10"/>
      <c r="K21" s="10"/>
    </row>
    <row r="22" spans="2:11">
      <c r="B22" s="32"/>
      <c r="C22" s="32"/>
      <c r="D22" s="32"/>
      <c r="E22" s="32"/>
      <c r="F22" s="32"/>
      <c r="G22" s="32"/>
      <c r="H22" s="10"/>
      <c r="I22" s="10"/>
      <c r="J22" s="10"/>
      <c r="K22" s="10"/>
    </row>
    <row r="23" spans="2:11" ht="15.75">
      <c r="B23" s="86" t="s">
        <v>39</v>
      </c>
      <c r="C23" s="141">
        <f>'S&amp;D'!I44</f>
        <v>0.63</v>
      </c>
      <c r="D23" s="141">
        <f>+'Indicated Yield Equity Rate '!D53</f>
        <v>9.3600000000000003E-2</v>
      </c>
      <c r="E23" s="99" t="s">
        <v>40</v>
      </c>
      <c r="F23" s="141">
        <f>+D23</f>
        <v>9.3600000000000003E-2</v>
      </c>
      <c r="G23" s="142">
        <f>+F23*C23</f>
        <v>5.8968E-2</v>
      </c>
      <c r="H23" s="10"/>
      <c r="I23" s="10"/>
      <c r="J23" s="10"/>
      <c r="K23" s="10"/>
    </row>
    <row r="24" spans="2:11" ht="15.75">
      <c r="B24" s="86" t="s">
        <v>0</v>
      </c>
      <c r="C24" s="99" t="s">
        <v>0</v>
      </c>
      <c r="D24" s="99" t="s">
        <v>0</v>
      </c>
      <c r="E24" s="99" t="s">
        <v>0</v>
      </c>
      <c r="F24" s="143" t="s">
        <v>0</v>
      </c>
      <c r="G24" s="124" t="s">
        <v>0</v>
      </c>
      <c r="H24" s="10"/>
      <c r="I24" s="10"/>
      <c r="J24" s="10"/>
      <c r="K24" s="10"/>
    </row>
    <row r="25" spans="2:11" ht="15.75">
      <c r="B25" s="86" t="s">
        <v>41</v>
      </c>
      <c r="C25" s="141">
        <f>'S&amp;D'!J44</f>
        <v>0.37</v>
      </c>
      <c r="D25" s="141">
        <f>+'Yield Debt'!J26</f>
        <v>6.2199999999999998E-2</v>
      </c>
      <c r="E25" s="141">
        <v>0.26</v>
      </c>
      <c r="F25" s="141">
        <f>+D25*(1-E25)</f>
        <v>4.6027999999999999E-2</v>
      </c>
      <c r="G25" s="142">
        <f>+C25*F25</f>
        <v>1.7030360000000001E-2</v>
      </c>
      <c r="H25" s="10"/>
      <c r="I25" s="10"/>
      <c r="J25" s="10"/>
      <c r="K25" s="10"/>
    </row>
    <row r="26" spans="2:11" ht="16.5" thickBot="1">
      <c r="B26" s="93" t="s">
        <v>0</v>
      </c>
      <c r="C26" s="93" t="s">
        <v>0</v>
      </c>
      <c r="D26" s="93" t="s">
        <v>0</v>
      </c>
      <c r="E26" s="93" t="s">
        <v>0</v>
      </c>
      <c r="F26" s="144" t="s">
        <v>0</v>
      </c>
      <c r="G26" s="145" t="s">
        <v>0</v>
      </c>
      <c r="H26" s="10"/>
      <c r="I26" s="10"/>
      <c r="J26" s="10"/>
      <c r="K26" s="10"/>
    </row>
    <row r="27" spans="2:11" ht="15.75">
      <c r="B27" s="86" t="s">
        <v>71</v>
      </c>
      <c r="C27" s="146">
        <f>+C23+C25</f>
        <v>1</v>
      </c>
      <c r="D27" s="86" t="s">
        <v>0</v>
      </c>
      <c r="E27" s="86" t="s">
        <v>0</v>
      </c>
      <c r="F27" s="147" t="s">
        <v>0</v>
      </c>
      <c r="G27" s="142">
        <f>+G23+G25</f>
        <v>7.5998360000000001E-2</v>
      </c>
      <c r="H27" s="10"/>
      <c r="I27" s="10"/>
      <c r="J27" s="10"/>
      <c r="K27" s="10"/>
    </row>
    <row r="28" spans="2:11" ht="16.5" thickBot="1">
      <c r="B28" s="60"/>
      <c r="C28" s="60"/>
      <c r="D28" s="60"/>
      <c r="E28" s="60"/>
      <c r="F28" s="60"/>
      <c r="G28" s="148"/>
      <c r="H28" s="10"/>
      <c r="I28" s="10"/>
      <c r="J28" s="10"/>
      <c r="K28" s="10"/>
    </row>
    <row r="29" spans="2:11" ht="16.5" thickBot="1">
      <c r="B29" s="10"/>
      <c r="C29" s="10"/>
      <c r="D29" s="10"/>
      <c r="E29" s="10"/>
      <c r="F29" s="209" t="s">
        <v>74</v>
      </c>
      <c r="G29" s="455">
        <v>7.5999999999999998E-2</v>
      </c>
      <c r="H29" s="10"/>
      <c r="I29" s="10"/>
      <c r="J29" s="10"/>
      <c r="K29" s="10"/>
    </row>
    <row r="30" spans="2:11">
      <c r="B30" s="10"/>
      <c r="C30" s="10"/>
      <c r="D30" s="10"/>
      <c r="E30" s="10"/>
      <c r="F30" s="10"/>
      <c r="G30" s="10"/>
      <c r="H30" s="10"/>
      <c r="I30" s="10"/>
      <c r="J30" s="10"/>
      <c r="K30" s="10"/>
    </row>
    <row r="31" spans="2:11">
      <c r="B31" s="10"/>
      <c r="C31" s="10"/>
      <c r="D31" s="10"/>
      <c r="E31" s="10"/>
      <c r="F31" s="10"/>
      <c r="G31" s="10"/>
      <c r="H31" s="10"/>
      <c r="I31" s="10"/>
      <c r="J31" s="10"/>
      <c r="K31" s="10"/>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Q8" sqref="Q8"/>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E54" sqref="E54"/>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1" t="s">
        <v>1</v>
      </c>
      <c r="C1" s="10"/>
      <c r="D1" s="10"/>
      <c r="E1" s="10"/>
      <c r="F1" s="10"/>
      <c r="G1" s="10"/>
      <c r="H1" s="10"/>
      <c r="I1" s="10"/>
      <c r="J1" s="10"/>
      <c r="K1" s="10"/>
    </row>
    <row r="2" spans="1:11" ht="15.75">
      <c r="A2" s="22" t="s">
        <v>9</v>
      </c>
      <c r="C2" s="10"/>
      <c r="D2" s="10"/>
      <c r="E2" s="10"/>
      <c r="F2" s="10"/>
      <c r="G2" s="10"/>
      <c r="H2" s="10"/>
      <c r="I2" s="10"/>
      <c r="J2" s="10"/>
      <c r="K2" s="10"/>
    </row>
    <row r="3" spans="1:11">
      <c r="A3" s="23" t="s">
        <v>62</v>
      </c>
      <c r="C3" s="10"/>
      <c r="D3" s="10"/>
      <c r="E3" s="10"/>
      <c r="F3" s="10"/>
      <c r="G3" s="10"/>
      <c r="H3" s="10"/>
      <c r="I3" s="10"/>
      <c r="J3" s="10"/>
      <c r="K3" s="10"/>
    </row>
    <row r="4" spans="1:11">
      <c r="B4" s="23"/>
      <c r="C4" s="10"/>
      <c r="D4" s="10"/>
      <c r="E4" s="10"/>
      <c r="F4" s="10"/>
      <c r="G4" s="10"/>
      <c r="H4" s="10"/>
      <c r="I4" s="10"/>
      <c r="J4" s="10"/>
      <c r="K4" s="10"/>
    </row>
    <row r="5" spans="1:11">
      <c r="B5" s="23"/>
      <c r="C5" s="10"/>
      <c r="D5" s="10"/>
      <c r="E5" s="10"/>
      <c r="F5" s="10"/>
      <c r="G5" s="10"/>
      <c r="H5" s="10"/>
      <c r="I5" s="10"/>
      <c r="J5" s="10"/>
      <c r="K5" s="10"/>
    </row>
    <row r="6" spans="1:11">
      <c r="B6" s="23"/>
      <c r="C6" s="10"/>
      <c r="D6" s="10"/>
      <c r="E6" s="10"/>
      <c r="F6" s="10"/>
      <c r="G6" s="10"/>
      <c r="H6" s="10"/>
      <c r="I6" s="10"/>
      <c r="J6" s="10"/>
      <c r="K6" s="10"/>
    </row>
    <row r="7" spans="1:11">
      <c r="B7" s="23"/>
      <c r="C7" s="10"/>
      <c r="D7" s="10"/>
      <c r="E7" s="10"/>
      <c r="F7" s="10"/>
      <c r="G7" s="10"/>
      <c r="H7" s="10"/>
      <c r="I7" s="10"/>
      <c r="J7" s="10"/>
      <c r="K7" s="10"/>
    </row>
    <row r="8" spans="1:11">
      <c r="B8" s="23"/>
      <c r="C8" s="10"/>
      <c r="D8" s="10"/>
      <c r="E8" s="10"/>
      <c r="F8" s="10"/>
      <c r="G8" s="10"/>
      <c r="H8" s="10"/>
      <c r="I8" s="10"/>
      <c r="J8" s="10"/>
      <c r="K8" s="10"/>
    </row>
    <row r="9" spans="1:11">
      <c r="B9" s="23"/>
      <c r="C9" s="10"/>
      <c r="D9" s="10"/>
      <c r="E9" s="10"/>
      <c r="F9" s="10"/>
      <c r="G9" s="10"/>
      <c r="H9" s="10"/>
      <c r="I9" s="10"/>
      <c r="J9" s="10"/>
      <c r="K9" s="10"/>
    </row>
    <row r="10" spans="1:11" ht="18">
      <c r="B10" s="10"/>
      <c r="C10" s="10"/>
      <c r="D10" s="74" t="s">
        <v>0</v>
      </c>
      <c r="E10" s="10"/>
      <c r="F10" s="10"/>
      <c r="G10" s="10"/>
      <c r="H10" s="10"/>
      <c r="I10" s="10"/>
      <c r="J10" s="10"/>
      <c r="K10" s="10"/>
    </row>
    <row r="11" spans="1:11" ht="18">
      <c r="B11" s="10"/>
      <c r="C11" s="10"/>
      <c r="D11" s="74" t="s">
        <v>63</v>
      </c>
      <c r="E11" s="10"/>
      <c r="F11" s="10"/>
      <c r="G11" s="10"/>
      <c r="H11" s="10"/>
      <c r="I11" s="10"/>
      <c r="J11" s="10"/>
      <c r="K11" s="10"/>
    </row>
    <row r="12" spans="1:11">
      <c r="B12" s="10"/>
      <c r="C12" s="10"/>
      <c r="D12" s="10"/>
      <c r="E12" s="10"/>
      <c r="F12" s="10"/>
      <c r="G12" s="10"/>
      <c r="H12" s="10"/>
      <c r="I12" s="10"/>
      <c r="J12" s="10"/>
      <c r="K12" s="10"/>
    </row>
    <row r="13" spans="1:11">
      <c r="B13" s="10"/>
      <c r="C13" s="10"/>
      <c r="D13" s="10"/>
      <c r="E13" s="10"/>
      <c r="F13" s="10"/>
      <c r="G13" s="10"/>
      <c r="H13" s="10"/>
      <c r="I13" s="10"/>
      <c r="J13" s="10"/>
      <c r="K13" s="10"/>
    </row>
    <row r="14" spans="1:11" ht="15.75" thickBot="1">
      <c r="B14" s="10"/>
      <c r="C14" s="26"/>
      <c r="D14" s="26"/>
      <c r="E14" s="26"/>
      <c r="F14" s="10"/>
      <c r="G14" s="10"/>
      <c r="H14" s="10"/>
      <c r="I14" s="10"/>
      <c r="J14" s="10"/>
      <c r="K14" s="10"/>
    </row>
    <row r="15" spans="1:11" ht="20.25">
      <c r="B15" s="10"/>
      <c r="C15" s="10"/>
      <c r="D15" s="29" t="str">
        <f>+'S&amp;D'!A12</f>
        <v>Air Freight Carriers</v>
      </c>
      <c r="E15" s="10"/>
      <c r="F15" s="10"/>
      <c r="G15" s="10"/>
      <c r="H15" s="10"/>
      <c r="I15" s="10"/>
      <c r="J15" s="10"/>
      <c r="K15" s="10"/>
    </row>
    <row r="16" spans="1:11" ht="18.75" thickBot="1">
      <c r="B16" s="10"/>
      <c r="C16" s="26"/>
      <c r="D16" s="140" t="s">
        <v>70</v>
      </c>
      <c r="E16" s="26"/>
      <c r="F16" s="10"/>
      <c r="G16" s="10"/>
      <c r="H16" s="10"/>
      <c r="I16" s="10"/>
      <c r="J16" s="10"/>
      <c r="K16" s="10"/>
    </row>
    <row r="17" spans="2:11">
      <c r="H17" s="10"/>
      <c r="I17" s="10"/>
      <c r="J17" s="10"/>
      <c r="K17" s="10"/>
    </row>
    <row r="18" spans="2:11" ht="15.75" thickBot="1">
      <c r="B18" s="26"/>
      <c r="C18" s="26"/>
      <c r="D18" s="34" t="s">
        <v>0</v>
      </c>
      <c r="E18" s="26"/>
      <c r="F18" s="26"/>
      <c r="G18" s="26"/>
      <c r="H18" s="10"/>
      <c r="I18" s="10"/>
      <c r="J18" s="10"/>
      <c r="K18" s="10"/>
    </row>
    <row r="19" spans="2:11">
      <c r="B19" s="32" t="s">
        <v>31</v>
      </c>
      <c r="C19" s="32" t="s">
        <v>32</v>
      </c>
      <c r="D19" s="32" t="s">
        <v>67</v>
      </c>
      <c r="E19" s="32" t="s">
        <v>68</v>
      </c>
      <c r="F19" s="32" t="s">
        <v>66</v>
      </c>
      <c r="G19" s="32" t="s">
        <v>34</v>
      </c>
      <c r="H19" s="10"/>
      <c r="I19" s="10"/>
      <c r="J19" s="10"/>
      <c r="K19" s="10"/>
    </row>
    <row r="20" spans="2:11" ht="15.75" thickBot="1">
      <c r="B20" s="34" t="s">
        <v>32</v>
      </c>
      <c r="C20" s="34" t="s">
        <v>35</v>
      </c>
      <c r="D20" s="34" t="s">
        <v>36</v>
      </c>
      <c r="E20" s="34" t="s">
        <v>23</v>
      </c>
      <c r="F20" s="34" t="s">
        <v>37</v>
      </c>
      <c r="G20" s="34" t="s">
        <v>69</v>
      </c>
      <c r="H20" s="10"/>
      <c r="I20" s="10"/>
      <c r="J20" s="10"/>
      <c r="K20" s="10"/>
    </row>
    <row r="21" spans="2:11">
      <c r="B21" s="36" t="s">
        <v>0</v>
      </c>
      <c r="C21" s="36" t="s">
        <v>0</v>
      </c>
      <c r="D21" s="36" t="s">
        <v>0</v>
      </c>
      <c r="E21" s="36" t="s">
        <v>0</v>
      </c>
      <c r="F21" s="36" t="s">
        <v>0</v>
      </c>
      <c r="G21" s="36" t="s">
        <v>0</v>
      </c>
      <c r="H21" s="10"/>
      <c r="I21" s="10"/>
      <c r="J21" s="10"/>
      <c r="K21" s="10"/>
    </row>
    <row r="22" spans="2:11">
      <c r="B22" s="32"/>
      <c r="C22" s="32"/>
      <c r="D22" s="32"/>
      <c r="E22" s="32"/>
      <c r="F22" s="32"/>
      <c r="G22" s="32"/>
      <c r="H22" s="10"/>
      <c r="I22" s="10"/>
      <c r="J22" s="10"/>
      <c r="K22" s="10"/>
    </row>
    <row r="23" spans="2:11" ht="15.75">
      <c r="B23" s="86" t="s">
        <v>39</v>
      </c>
      <c r="C23" s="141">
        <f>'S&amp;D'!I44</f>
        <v>0.63</v>
      </c>
      <c r="D23" s="141">
        <f>+'Direct NOPAT'!J30</f>
        <v>0.10065</v>
      </c>
      <c r="E23" s="99" t="s">
        <v>40</v>
      </c>
      <c r="F23" s="141">
        <f>+D23</f>
        <v>0.10065</v>
      </c>
      <c r="G23" s="142">
        <f>+F23*C23</f>
        <v>6.3409500000000008E-2</v>
      </c>
      <c r="H23" s="10"/>
      <c r="I23" s="10"/>
      <c r="J23" s="10"/>
      <c r="K23" s="10"/>
    </row>
    <row r="24" spans="2:11" ht="15.75">
      <c r="B24" s="86" t="s">
        <v>0</v>
      </c>
      <c r="C24" s="99" t="s">
        <v>0</v>
      </c>
      <c r="D24" s="99" t="s">
        <v>0</v>
      </c>
      <c r="E24" s="99" t="s">
        <v>0</v>
      </c>
      <c r="F24" s="143" t="s">
        <v>0</v>
      </c>
      <c r="G24" s="124" t="s">
        <v>0</v>
      </c>
      <c r="H24" s="10"/>
      <c r="I24" s="10"/>
      <c r="J24" s="10"/>
      <c r="K24" s="10"/>
    </row>
    <row r="25" spans="2:11" ht="15.75">
      <c r="B25" s="86" t="s">
        <v>41</v>
      </c>
      <c r="C25" s="141">
        <f>'S&amp;D'!J44</f>
        <v>0.37</v>
      </c>
      <c r="D25" s="141">
        <f>+'Direct Debt'!I30</f>
        <v>3.1800000000000002E-2</v>
      </c>
      <c r="E25" s="141">
        <v>0.26</v>
      </c>
      <c r="F25" s="141">
        <f>+D25*(1-E25)</f>
        <v>2.3532000000000001E-2</v>
      </c>
      <c r="G25" s="142">
        <f>+C25*F25</f>
        <v>8.7068400000000004E-3</v>
      </c>
      <c r="H25" s="10"/>
      <c r="I25" s="10"/>
      <c r="J25" s="10"/>
      <c r="K25" s="10"/>
    </row>
    <row r="26" spans="2:11" ht="16.5" thickBot="1">
      <c r="B26" s="93" t="s">
        <v>0</v>
      </c>
      <c r="C26" s="93" t="s">
        <v>0</v>
      </c>
      <c r="D26" s="93" t="s">
        <v>0</v>
      </c>
      <c r="E26" s="93" t="s">
        <v>0</v>
      </c>
      <c r="F26" s="144" t="s">
        <v>0</v>
      </c>
      <c r="G26" s="145" t="s">
        <v>0</v>
      </c>
      <c r="H26" s="10"/>
      <c r="I26" s="10"/>
      <c r="J26" s="10"/>
      <c r="K26" s="10"/>
    </row>
    <row r="27" spans="2:11" ht="15.75">
      <c r="B27" s="86" t="s">
        <v>42</v>
      </c>
      <c r="C27" s="146">
        <f>+C23+C25</f>
        <v>1</v>
      </c>
      <c r="D27" s="86" t="s">
        <v>0</v>
      </c>
      <c r="E27" s="86" t="s">
        <v>0</v>
      </c>
      <c r="F27" s="147" t="s">
        <v>0</v>
      </c>
      <c r="G27" s="142">
        <f>+G23+G25</f>
        <v>7.2116340000000001E-2</v>
      </c>
      <c r="H27" s="10"/>
      <c r="I27" s="10"/>
      <c r="J27" s="10"/>
      <c r="K27" s="10"/>
    </row>
    <row r="28" spans="2:11" ht="16.5" thickBot="1">
      <c r="B28" s="60"/>
      <c r="C28" s="60"/>
      <c r="D28" s="60"/>
      <c r="E28" s="60"/>
      <c r="F28" s="60"/>
      <c r="G28" s="148"/>
      <c r="H28" s="10"/>
      <c r="I28" s="10"/>
      <c r="J28" s="10"/>
      <c r="K28" s="10"/>
    </row>
    <row r="29" spans="2:11" ht="16.5" thickBot="1">
      <c r="B29" s="10"/>
      <c r="C29" s="10"/>
      <c r="D29" s="10"/>
      <c r="E29" s="10"/>
      <c r="F29" s="209" t="s">
        <v>74</v>
      </c>
      <c r="G29" s="455">
        <v>7.2099999999999997E-2</v>
      </c>
      <c r="H29" s="10"/>
      <c r="I29" s="10"/>
      <c r="J29" s="10"/>
      <c r="K29" s="10"/>
    </row>
    <row r="30" spans="2:11" ht="16.5" thickBot="1">
      <c r="B30" s="10"/>
      <c r="C30" s="10"/>
      <c r="D30" s="10"/>
      <c r="E30" s="10"/>
      <c r="F30" s="147"/>
      <c r="G30" s="142"/>
      <c r="H30" s="10"/>
      <c r="I30" s="10"/>
      <c r="J30" s="10"/>
      <c r="K30" s="10"/>
    </row>
    <row r="31" spans="2:11" ht="16.5" thickBot="1">
      <c r="B31" s="10"/>
      <c r="C31" s="10"/>
      <c r="D31" s="10"/>
      <c r="E31" s="10"/>
      <c r="F31" s="209" t="s">
        <v>237</v>
      </c>
      <c r="G31" s="240">
        <f>1/G29</f>
        <v>13.869625520110958</v>
      </c>
      <c r="H31" s="10"/>
      <c r="I31" s="10"/>
      <c r="J31" s="10"/>
      <c r="K31" s="10"/>
    </row>
    <row r="32" spans="2:11" ht="15.75">
      <c r="B32" s="10"/>
      <c r="C32" s="10"/>
      <c r="D32" s="10"/>
      <c r="E32" s="10"/>
      <c r="F32" s="147"/>
      <c r="G32" s="142"/>
      <c r="H32" s="10"/>
      <c r="I32" s="10"/>
      <c r="J32" s="10"/>
      <c r="K32" s="10"/>
    </row>
    <row r="33" spans="1:11" ht="15.75">
      <c r="B33" s="10"/>
      <c r="C33" s="10"/>
      <c r="D33" s="10"/>
      <c r="E33" s="10"/>
      <c r="F33" s="147"/>
      <c r="G33" s="142"/>
      <c r="H33" s="10"/>
      <c r="I33" s="10"/>
      <c r="J33" s="10"/>
      <c r="K33" s="10"/>
    </row>
    <row r="34" spans="1:11" ht="20.25">
      <c r="A34" s="21" t="s">
        <v>1</v>
      </c>
      <c r="C34" s="10"/>
      <c r="D34" s="10"/>
      <c r="E34" s="10"/>
      <c r="F34" s="147"/>
      <c r="G34" s="142"/>
      <c r="H34" s="10"/>
      <c r="I34" s="10"/>
      <c r="J34" s="10"/>
      <c r="K34" s="10"/>
    </row>
    <row r="35" spans="1:11" ht="15.75">
      <c r="A35" s="22" t="s">
        <v>9</v>
      </c>
      <c r="C35" s="10"/>
      <c r="D35" s="10"/>
      <c r="E35" s="10"/>
      <c r="F35" s="147"/>
      <c r="G35" s="142"/>
      <c r="H35" s="10"/>
      <c r="I35" s="10"/>
      <c r="J35" s="10"/>
      <c r="K35" s="10"/>
    </row>
    <row r="36" spans="1:11" ht="15.75">
      <c r="A36" s="23" t="s">
        <v>62</v>
      </c>
      <c r="C36" s="10"/>
      <c r="D36" s="10"/>
      <c r="E36" s="10"/>
      <c r="F36" s="147"/>
      <c r="G36" s="142"/>
      <c r="H36" s="10"/>
      <c r="I36" s="10"/>
      <c r="J36" s="10"/>
      <c r="K36" s="10"/>
    </row>
    <row r="37" spans="1:11" ht="15.75">
      <c r="A37" s="23"/>
      <c r="C37" s="10"/>
      <c r="D37" s="10"/>
      <c r="E37" s="10"/>
      <c r="F37" s="147"/>
      <c r="G37" s="142"/>
      <c r="H37" s="10"/>
      <c r="I37" s="10"/>
      <c r="J37" s="10"/>
      <c r="K37" s="10"/>
    </row>
    <row r="38" spans="1:11" ht="15.75">
      <c r="A38" s="23"/>
      <c r="C38" s="10"/>
      <c r="D38" s="10"/>
      <c r="E38" s="10"/>
      <c r="F38" s="147"/>
      <c r="G38" s="142"/>
      <c r="H38" s="10"/>
      <c r="I38" s="10"/>
      <c r="J38" s="10"/>
      <c r="K38" s="10"/>
    </row>
    <row r="39" spans="1:11" ht="15.75">
      <c r="A39" s="23"/>
      <c r="C39" s="10"/>
      <c r="D39" s="10"/>
      <c r="E39" s="10"/>
      <c r="F39" s="147"/>
      <c r="G39" s="142"/>
      <c r="H39" s="10"/>
      <c r="I39" s="10"/>
      <c r="J39" s="10"/>
      <c r="K39" s="10"/>
    </row>
    <row r="40" spans="1:11" ht="15.75">
      <c r="A40" s="23"/>
      <c r="C40" s="10"/>
      <c r="D40" s="10"/>
      <c r="E40" s="10"/>
      <c r="F40" s="147"/>
      <c r="G40" s="142"/>
      <c r="H40" s="10"/>
      <c r="I40" s="10"/>
      <c r="J40" s="10"/>
      <c r="K40" s="10"/>
    </row>
    <row r="41" spans="1:11" ht="15.75">
      <c r="A41" s="23"/>
      <c r="C41" s="10"/>
      <c r="D41" s="10"/>
      <c r="E41" s="10"/>
      <c r="F41" s="147"/>
      <c r="G41" s="142"/>
      <c r="H41" s="10"/>
      <c r="I41" s="10"/>
      <c r="J41" s="10"/>
      <c r="K41" s="10"/>
    </row>
    <row r="42" spans="1:11" ht="15.75">
      <c r="A42" s="23"/>
      <c r="C42" s="10"/>
      <c r="D42" s="10"/>
      <c r="E42" s="10"/>
      <c r="F42" s="147"/>
      <c r="G42" s="142"/>
      <c r="H42" s="10"/>
      <c r="I42" s="10"/>
      <c r="J42" s="10"/>
      <c r="K42" s="10"/>
    </row>
    <row r="43" spans="1:11" ht="15.75">
      <c r="A43" s="23"/>
      <c r="C43" s="10"/>
      <c r="D43" s="10"/>
      <c r="E43" s="10"/>
      <c r="F43" s="147"/>
      <c r="G43" s="142"/>
      <c r="H43" s="10"/>
      <c r="I43" s="10"/>
      <c r="J43" s="10"/>
      <c r="K43" s="10"/>
    </row>
    <row r="44" spans="1:11" ht="18">
      <c r="A44" s="23"/>
      <c r="C44" s="10"/>
      <c r="D44" s="74" t="s">
        <v>63</v>
      </c>
      <c r="E44" s="10"/>
      <c r="F44" s="147"/>
      <c r="G44" s="142"/>
      <c r="H44" s="10"/>
      <c r="I44" s="10"/>
      <c r="J44" s="10"/>
      <c r="K44" s="10"/>
    </row>
    <row r="45" spans="1:11" ht="18">
      <c r="A45" s="23"/>
      <c r="C45" s="10"/>
      <c r="D45" s="74"/>
      <c r="E45" s="10"/>
      <c r="F45" s="147"/>
      <c r="G45" s="142"/>
      <c r="H45" s="10"/>
      <c r="I45" s="10"/>
      <c r="J45" s="10"/>
      <c r="K45" s="10"/>
    </row>
    <row r="46" spans="1:11" ht="18">
      <c r="A46" s="23"/>
      <c r="C46" s="10"/>
      <c r="D46" s="74"/>
      <c r="E46" s="10"/>
      <c r="F46" s="147"/>
      <c r="G46" s="142"/>
      <c r="H46" s="10"/>
      <c r="I46" s="10"/>
      <c r="J46" s="10"/>
      <c r="K46" s="10"/>
    </row>
    <row r="47" spans="1:11" ht="15.75" thickBot="1">
      <c r="B47" s="10"/>
      <c r="C47" s="26"/>
      <c r="D47" s="26"/>
      <c r="E47" s="26"/>
      <c r="F47" s="10"/>
      <c r="G47" s="10"/>
      <c r="H47" s="10"/>
      <c r="I47" s="10"/>
      <c r="J47" s="10"/>
      <c r="K47" s="10"/>
    </row>
    <row r="48" spans="1:11" ht="20.25">
      <c r="B48" s="10"/>
      <c r="C48" s="10"/>
      <c r="D48" s="29" t="str">
        <f>+D15</f>
        <v>Air Freight Carriers</v>
      </c>
      <c r="E48" s="10"/>
      <c r="F48" s="10"/>
      <c r="G48" s="10"/>
      <c r="H48" s="10"/>
      <c r="I48" s="10"/>
      <c r="J48" s="10"/>
      <c r="K48" s="10"/>
    </row>
    <row r="49" spans="2:11" ht="18.75" thickBot="1">
      <c r="B49" s="10"/>
      <c r="C49" s="26"/>
      <c r="D49" s="140" t="s">
        <v>65</v>
      </c>
      <c r="E49" s="26"/>
      <c r="F49" s="10"/>
      <c r="G49" s="10"/>
      <c r="H49" s="10"/>
      <c r="I49" s="10"/>
      <c r="J49" s="10"/>
      <c r="K49" s="10"/>
    </row>
    <row r="50" spans="2:11">
      <c r="B50" s="10"/>
      <c r="C50" s="10"/>
      <c r="D50" s="10"/>
      <c r="E50" s="10"/>
      <c r="F50" s="10"/>
      <c r="G50" s="10"/>
      <c r="H50" s="10"/>
      <c r="I50" s="10"/>
      <c r="J50" s="10"/>
      <c r="K50" s="10"/>
    </row>
    <row r="51" spans="2:11" ht="15.75" thickBot="1">
      <c r="B51" s="26"/>
      <c r="C51" s="26"/>
      <c r="D51" s="34" t="s">
        <v>0</v>
      </c>
      <c r="E51" s="26"/>
      <c r="F51" s="26"/>
      <c r="G51" s="26"/>
      <c r="H51" s="10"/>
      <c r="I51" s="10"/>
      <c r="J51" s="10"/>
      <c r="K51" s="10"/>
    </row>
    <row r="52" spans="2:11">
      <c r="B52" s="32" t="s">
        <v>31</v>
      </c>
      <c r="C52" s="32" t="s">
        <v>32</v>
      </c>
      <c r="D52" s="32" t="s">
        <v>67</v>
      </c>
      <c r="E52" s="32" t="s">
        <v>68</v>
      </c>
      <c r="F52" s="32" t="s">
        <v>66</v>
      </c>
      <c r="G52" s="32" t="s">
        <v>34</v>
      </c>
      <c r="H52" s="10"/>
      <c r="I52" s="10"/>
      <c r="J52" s="10"/>
      <c r="K52" s="10"/>
    </row>
    <row r="53" spans="2:11" ht="15.75" thickBot="1">
      <c r="B53" s="34" t="s">
        <v>32</v>
      </c>
      <c r="C53" s="34" t="s">
        <v>35</v>
      </c>
      <c r="D53" s="34" t="s">
        <v>36</v>
      </c>
      <c r="E53" s="34" t="s">
        <v>23</v>
      </c>
      <c r="F53" s="34" t="s">
        <v>37</v>
      </c>
      <c r="G53" s="34" t="s">
        <v>69</v>
      </c>
      <c r="H53" s="10"/>
      <c r="I53" s="10"/>
      <c r="J53" s="10"/>
      <c r="K53" s="10"/>
    </row>
    <row r="54" spans="2:11">
      <c r="B54" s="36" t="s">
        <v>0</v>
      </c>
      <c r="C54" s="36" t="s">
        <v>0</v>
      </c>
      <c r="D54" s="36" t="s">
        <v>0</v>
      </c>
      <c r="E54" s="36" t="s">
        <v>0</v>
      </c>
      <c r="F54" s="36" t="s">
        <v>0</v>
      </c>
      <c r="G54" s="36" t="s">
        <v>0</v>
      </c>
      <c r="H54" s="10"/>
      <c r="I54" s="10"/>
      <c r="J54" s="10"/>
      <c r="K54" s="10"/>
    </row>
    <row r="55" spans="2:11">
      <c r="B55" s="32"/>
      <c r="C55" s="32"/>
      <c r="D55" s="32"/>
      <c r="E55" s="32"/>
      <c r="F55" s="32"/>
      <c r="G55" s="32"/>
      <c r="H55" s="10"/>
      <c r="I55" s="10"/>
      <c r="J55" s="10"/>
      <c r="K55" s="10"/>
    </row>
    <row r="56" spans="2:11" ht="15.75">
      <c r="B56" s="86" t="s">
        <v>39</v>
      </c>
      <c r="C56" s="141">
        <f>'S&amp;D'!I44</f>
        <v>0.63</v>
      </c>
      <c r="D56" s="141">
        <f>'Direct GCF'!H29</f>
        <v>0.20629999999999998</v>
      </c>
      <c r="E56" s="99" t="s">
        <v>40</v>
      </c>
      <c r="F56" s="141">
        <f>+D56</f>
        <v>0.20629999999999998</v>
      </c>
      <c r="G56" s="142">
        <f>+F56*C56</f>
        <v>0.129969</v>
      </c>
      <c r="H56" s="10"/>
      <c r="I56" s="10"/>
      <c r="J56" s="10"/>
      <c r="K56" s="10"/>
    </row>
    <row r="57" spans="2:11" ht="15.75">
      <c r="B57" s="86" t="s">
        <v>0</v>
      </c>
      <c r="C57" s="99" t="s">
        <v>0</v>
      </c>
      <c r="D57" s="99" t="s">
        <v>0</v>
      </c>
      <c r="E57" s="99" t="s">
        <v>0</v>
      </c>
      <c r="F57" s="143" t="s">
        <v>0</v>
      </c>
      <c r="G57" s="124" t="s">
        <v>0</v>
      </c>
      <c r="H57" s="10"/>
      <c r="I57" s="10"/>
      <c r="J57" s="10"/>
      <c r="K57" s="10"/>
    </row>
    <row r="58" spans="2:11" ht="15.75">
      <c r="B58" s="86" t="s">
        <v>41</v>
      </c>
      <c r="C58" s="141">
        <f>'S&amp;D'!J44</f>
        <v>0.37</v>
      </c>
      <c r="D58" s="141">
        <f>+'Direct Debt'!I30</f>
        <v>3.1800000000000002E-2</v>
      </c>
      <c r="E58" s="141">
        <v>0.26</v>
      </c>
      <c r="F58" s="141">
        <f>+D58*(1-E58)</f>
        <v>2.3532000000000001E-2</v>
      </c>
      <c r="G58" s="142">
        <f>+C58*F58</f>
        <v>8.7068400000000004E-3</v>
      </c>
      <c r="H58" s="10"/>
      <c r="I58" s="10"/>
      <c r="J58" s="10"/>
      <c r="K58" s="10"/>
    </row>
    <row r="59" spans="2:11" ht="16.5" thickBot="1">
      <c r="B59" s="93" t="s">
        <v>0</v>
      </c>
      <c r="C59" s="93" t="s">
        <v>0</v>
      </c>
      <c r="D59" s="93" t="s">
        <v>0</v>
      </c>
      <c r="E59" s="93" t="s">
        <v>0</v>
      </c>
      <c r="F59" s="144" t="s">
        <v>0</v>
      </c>
      <c r="G59" s="145" t="s">
        <v>0</v>
      </c>
      <c r="H59" s="10"/>
      <c r="I59" s="10"/>
      <c r="J59" s="10"/>
      <c r="K59" s="10"/>
    </row>
    <row r="60" spans="2:11" ht="15.75">
      <c r="B60" s="86" t="s">
        <v>42</v>
      </c>
      <c r="C60" s="146">
        <f>+C56+C58</f>
        <v>1</v>
      </c>
      <c r="D60" s="86" t="s">
        <v>0</v>
      </c>
      <c r="E60" s="86" t="s">
        <v>0</v>
      </c>
      <c r="F60" s="147" t="s">
        <v>0</v>
      </c>
      <c r="G60" s="142">
        <f>+G56+G58</f>
        <v>0.13867583999999999</v>
      </c>
      <c r="H60" s="10"/>
      <c r="I60" s="10"/>
      <c r="J60" s="10"/>
      <c r="K60" s="10"/>
    </row>
    <row r="61" spans="2:11" ht="16.5" thickBot="1">
      <c r="B61" s="60"/>
      <c r="C61" s="60"/>
      <c r="D61" s="60"/>
      <c r="E61" s="60"/>
      <c r="F61" s="60"/>
      <c r="G61" s="148"/>
      <c r="H61" s="10"/>
      <c r="I61" s="10"/>
      <c r="J61" s="10"/>
      <c r="K61" s="10"/>
    </row>
    <row r="62" spans="2:11" ht="16.5" thickBot="1">
      <c r="B62" s="10"/>
      <c r="C62" s="10"/>
      <c r="D62" s="10"/>
      <c r="E62" s="10"/>
      <c r="F62" s="209" t="s">
        <v>74</v>
      </c>
      <c r="G62" s="455">
        <v>0.13869999999999999</v>
      </c>
      <c r="H62" s="10"/>
      <c r="I62" s="10"/>
      <c r="J62" s="10"/>
      <c r="K62" s="10"/>
    </row>
    <row r="63" spans="2:11" ht="15.75" thickBot="1"/>
    <row r="64" spans="2:11" ht="16.5" thickBot="1">
      <c r="F64" s="209" t="s">
        <v>237</v>
      </c>
      <c r="G64" s="395">
        <f>1/G62</f>
        <v>7.2098053352559486</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67"/>
  <sheetViews>
    <sheetView view="pageBreakPreview" topLeftCell="A6" zoomScale="60" zoomScaleNormal="80" zoomScalePageLayoutView="70" workbookViewId="0">
      <pane xSplit="1" topLeftCell="B1" activePane="topRight" state="frozen"/>
      <selection pane="topRight" activeCell="I11" sqref="I11"/>
    </sheetView>
  </sheetViews>
  <sheetFormatPr defaultRowHeight="15"/>
  <cols>
    <col min="1" max="1" width="63" customWidth="1"/>
    <col min="2" max="2" width="11.5703125" bestFit="1" customWidth="1"/>
    <col min="3" max="3" width="20.42578125" bestFit="1" customWidth="1"/>
    <col min="4" max="4" width="25.5703125" bestFit="1" customWidth="1"/>
    <col min="5" max="5" width="29.7109375"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1" t="s">
        <v>1</v>
      </c>
      <c r="B1" s="10"/>
      <c r="C1" s="10"/>
      <c r="D1" s="10"/>
      <c r="E1" s="10"/>
      <c r="F1" s="10"/>
      <c r="G1" s="10"/>
      <c r="H1" s="10"/>
      <c r="I1" s="10"/>
      <c r="J1" s="10"/>
      <c r="K1" s="10"/>
    </row>
    <row r="2" spans="1:12" ht="15.75">
      <c r="A2" s="22" t="s">
        <v>9</v>
      </c>
      <c r="B2" s="10"/>
      <c r="C2" s="10"/>
      <c r="D2" s="10"/>
      <c r="E2" s="10"/>
      <c r="F2" s="10"/>
      <c r="G2" s="10"/>
      <c r="H2" s="10"/>
      <c r="I2" s="10"/>
      <c r="J2" s="10"/>
      <c r="K2" s="10"/>
    </row>
    <row r="3" spans="1:12">
      <c r="A3" s="23" t="s">
        <v>62</v>
      </c>
      <c r="B3" s="10"/>
      <c r="C3" s="10"/>
      <c r="D3" s="10"/>
      <c r="E3" s="10"/>
      <c r="F3" s="10"/>
      <c r="G3" s="10"/>
      <c r="H3" s="10"/>
      <c r="I3" s="10"/>
      <c r="J3" s="10"/>
      <c r="K3" s="10"/>
    </row>
    <row r="4" spans="1:12">
      <c r="A4" s="23"/>
      <c r="B4" s="10"/>
      <c r="C4" s="10"/>
      <c r="D4" s="10"/>
      <c r="E4" s="10"/>
      <c r="F4" s="207" t="s">
        <v>0</v>
      </c>
      <c r="G4" s="10"/>
      <c r="H4" s="10"/>
      <c r="I4" s="10"/>
      <c r="J4" s="10"/>
      <c r="K4" s="10"/>
    </row>
    <row r="5" spans="1:12">
      <c r="B5" s="10"/>
      <c r="C5" s="10"/>
      <c r="D5" s="10"/>
      <c r="E5" s="24"/>
      <c r="F5" s="207" t="s">
        <v>0</v>
      </c>
      <c r="G5" s="10"/>
      <c r="H5" s="10"/>
      <c r="I5" s="10"/>
      <c r="J5" s="10"/>
      <c r="K5" s="10" t="s">
        <v>0</v>
      </c>
    </row>
    <row r="6" spans="1:12">
      <c r="A6" s="10"/>
      <c r="B6" s="10"/>
      <c r="C6" s="10"/>
      <c r="D6" s="10"/>
      <c r="E6" s="10"/>
      <c r="F6" s="10"/>
      <c r="G6" s="10"/>
      <c r="H6" s="10"/>
      <c r="I6" s="10"/>
      <c r="J6" s="10"/>
      <c r="K6" s="10"/>
    </row>
    <row r="7" spans="1:12">
      <c r="A7" s="10"/>
      <c r="B7" s="32"/>
      <c r="C7" s="32"/>
      <c r="D7" s="32"/>
      <c r="E7" s="32"/>
      <c r="F7" s="32"/>
      <c r="G7" s="12"/>
      <c r="H7" s="41"/>
      <c r="I7" s="41"/>
      <c r="J7" s="81"/>
      <c r="K7" s="81"/>
      <c r="L7" s="3"/>
    </row>
    <row r="8" spans="1:12">
      <c r="A8" s="82"/>
      <c r="B8" s="32"/>
      <c r="C8" s="32"/>
      <c r="D8" s="32"/>
      <c r="E8" s="32"/>
      <c r="F8" s="32"/>
      <c r="G8" s="12"/>
      <c r="H8" s="41"/>
      <c r="I8" s="41"/>
      <c r="J8" s="81"/>
      <c r="K8" s="81"/>
      <c r="L8" s="3"/>
    </row>
    <row r="9" spans="1:12">
      <c r="A9" s="82"/>
      <c r="B9" s="32"/>
      <c r="C9" s="32"/>
      <c r="D9" s="32"/>
      <c r="E9" s="32"/>
      <c r="F9" s="32"/>
      <c r="G9" s="12"/>
      <c r="H9" s="41"/>
      <c r="I9" s="41"/>
      <c r="J9" s="81"/>
      <c r="K9" s="81"/>
      <c r="L9" s="3"/>
    </row>
    <row r="10" spans="1:12">
      <c r="A10" s="41"/>
      <c r="D10" s="41"/>
      <c r="E10" s="41"/>
      <c r="F10" s="41"/>
      <c r="G10" s="41"/>
      <c r="H10" s="41"/>
      <c r="I10" s="41"/>
      <c r="J10" s="41"/>
      <c r="K10" s="41"/>
      <c r="L10" s="2"/>
    </row>
    <row r="11" spans="1:12" ht="15.75" thickBot="1">
      <c r="A11" s="41"/>
      <c r="D11" s="41"/>
      <c r="E11" s="83"/>
      <c r="F11" s="26"/>
      <c r="G11" s="83"/>
      <c r="H11" s="41"/>
      <c r="I11" s="41"/>
      <c r="J11" s="41" t="s">
        <v>0</v>
      </c>
      <c r="K11" s="41"/>
      <c r="L11" s="2"/>
    </row>
    <row r="12" spans="1:12" ht="21" thickBot="1">
      <c r="A12" s="25" t="s">
        <v>427</v>
      </c>
      <c r="D12" s="41"/>
      <c r="E12" s="41"/>
      <c r="F12" s="29" t="s">
        <v>77</v>
      </c>
      <c r="G12" s="41"/>
      <c r="H12" s="41"/>
      <c r="I12" s="41"/>
      <c r="J12" s="41"/>
      <c r="K12" s="10"/>
    </row>
    <row r="13" spans="1:12" ht="18.75" thickBot="1">
      <c r="A13" s="28"/>
      <c r="D13" s="41"/>
      <c r="E13" s="83"/>
      <c r="F13" s="34" t="s">
        <v>76</v>
      </c>
      <c r="G13" s="83"/>
      <c r="H13" s="41"/>
      <c r="I13" s="41"/>
      <c r="J13" s="41"/>
      <c r="K13" s="10"/>
    </row>
    <row r="14" spans="1:12" ht="18">
      <c r="A14" s="28"/>
      <c r="B14" s="41"/>
      <c r="C14" s="41"/>
      <c r="D14" s="41" t="s">
        <v>0</v>
      </c>
      <c r="E14" s="41" t="s">
        <v>0</v>
      </c>
      <c r="F14" s="11" t="s">
        <v>0</v>
      </c>
      <c r="G14" s="41"/>
      <c r="H14" s="41"/>
      <c r="I14" s="41"/>
      <c r="J14" s="41"/>
      <c r="K14" s="10"/>
    </row>
    <row r="15" spans="1:12" ht="15.75" thickBot="1">
      <c r="A15" s="39" t="s">
        <v>0</v>
      </c>
      <c r="B15" s="39" t="s">
        <v>0</v>
      </c>
      <c r="C15" s="39" t="s">
        <v>0</v>
      </c>
      <c r="D15" s="39"/>
      <c r="E15" s="39"/>
      <c r="F15" s="39"/>
      <c r="G15" s="39" t="s">
        <v>0</v>
      </c>
      <c r="H15" s="83"/>
      <c r="I15" s="83"/>
      <c r="J15" s="83"/>
      <c r="K15" s="10"/>
    </row>
    <row r="16" spans="1:12" ht="15.75">
      <c r="A16" s="256"/>
      <c r="B16" s="257"/>
      <c r="C16" s="274"/>
      <c r="D16" s="241" t="s">
        <v>13</v>
      </c>
      <c r="E16" s="270" t="s">
        <v>13</v>
      </c>
      <c r="F16" s="241" t="s">
        <v>13</v>
      </c>
      <c r="G16" s="258" t="s">
        <v>248</v>
      </c>
      <c r="H16" s="271" t="s">
        <v>381</v>
      </c>
      <c r="I16" s="258" t="s">
        <v>381</v>
      </c>
      <c r="J16" s="271" t="s">
        <v>381</v>
      </c>
      <c r="K16" s="10"/>
    </row>
    <row r="17" spans="1:12" ht="15.75">
      <c r="A17" s="84" t="s">
        <v>0</v>
      </c>
      <c r="B17" s="85" t="s">
        <v>3</v>
      </c>
      <c r="C17" s="244" t="s">
        <v>5</v>
      </c>
      <c r="D17" s="87" t="s">
        <v>10</v>
      </c>
      <c r="E17" s="272" t="s">
        <v>10</v>
      </c>
      <c r="F17" s="87" t="s">
        <v>19</v>
      </c>
      <c r="G17" s="88" t="s">
        <v>381</v>
      </c>
      <c r="H17" s="85" t="s">
        <v>12</v>
      </c>
      <c r="I17" s="89" t="s">
        <v>11</v>
      </c>
      <c r="J17" s="90" t="s">
        <v>155</v>
      </c>
      <c r="K17" s="10"/>
    </row>
    <row r="18" spans="1:12" ht="15.75">
      <c r="A18" s="84" t="s">
        <v>2</v>
      </c>
      <c r="B18" s="85" t="s">
        <v>4</v>
      </c>
      <c r="C18" s="244" t="s">
        <v>6</v>
      </c>
      <c r="D18" s="87" t="s">
        <v>45</v>
      </c>
      <c r="E18" s="272" t="s">
        <v>46</v>
      </c>
      <c r="F18" s="87" t="s">
        <v>10</v>
      </c>
      <c r="G18" s="88" t="s">
        <v>10</v>
      </c>
      <c r="H18" s="85" t="s">
        <v>73</v>
      </c>
      <c r="I18" s="261" t="s">
        <v>382</v>
      </c>
      <c r="J18" s="90" t="s">
        <v>249</v>
      </c>
      <c r="K18" s="10" t="s">
        <v>0</v>
      </c>
    </row>
    <row r="19" spans="1:12" ht="16.5" thickBot="1">
      <c r="A19" s="91" t="s">
        <v>0</v>
      </c>
      <c r="B19" s="92" t="s">
        <v>0</v>
      </c>
      <c r="C19" s="112" t="s">
        <v>0</v>
      </c>
      <c r="D19" s="92" t="s">
        <v>0</v>
      </c>
      <c r="E19" s="93" t="s">
        <v>0</v>
      </c>
      <c r="F19" s="92" t="s">
        <v>0</v>
      </c>
      <c r="G19" s="93" t="s">
        <v>0</v>
      </c>
      <c r="H19" s="94" t="s">
        <v>61</v>
      </c>
      <c r="I19" s="95" t="s">
        <v>60</v>
      </c>
      <c r="J19" s="94" t="s">
        <v>60</v>
      </c>
      <c r="K19" s="10"/>
    </row>
    <row r="20" spans="1:12">
      <c r="A20" s="275" t="s">
        <v>7</v>
      </c>
      <c r="B20" s="295" t="s">
        <v>7</v>
      </c>
      <c r="C20" s="275" t="s">
        <v>7</v>
      </c>
      <c r="D20" s="303" t="s">
        <v>7</v>
      </c>
      <c r="E20" s="303" t="s">
        <v>7</v>
      </c>
      <c r="F20" s="40" t="s">
        <v>15</v>
      </c>
      <c r="G20" s="275" t="s">
        <v>7</v>
      </c>
      <c r="H20" s="275" t="s">
        <v>8</v>
      </c>
      <c r="I20" s="275" t="s">
        <v>8</v>
      </c>
      <c r="J20" s="275" t="s">
        <v>8</v>
      </c>
      <c r="K20" s="10"/>
    </row>
    <row r="21" spans="1:12" ht="15.75">
      <c r="A21" s="85"/>
      <c r="B21" s="86"/>
      <c r="C21" s="85"/>
      <c r="D21" s="244"/>
      <c r="E21" s="86"/>
      <c r="F21" s="84"/>
      <c r="G21" s="85"/>
      <c r="H21" s="85"/>
      <c r="I21" s="114"/>
      <c r="J21" s="97"/>
      <c r="K21" s="10"/>
    </row>
    <row r="22" spans="1:12" ht="15.75">
      <c r="A22" s="98" t="s">
        <v>413</v>
      </c>
      <c r="B22" s="76" t="s">
        <v>414</v>
      </c>
      <c r="C22" s="85" t="s">
        <v>415</v>
      </c>
      <c r="D22" s="100">
        <v>29.55</v>
      </c>
      <c r="E22" s="57">
        <v>24.22</v>
      </c>
      <c r="F22" s="100">
        <f>AVERAGE(D22,E22)</f>
        <v>26.884999999999998</v>
      </c>
      <c r="G22" s="57">
        <v>25.98</v>
      </c>
      <c r="H22" s="379">
        <v>72327758</v>
      </c>
      <c r="I22" s="379">
        <v>0</v>
      </c>
      <c r="J22" s="379">
        <f>695000+1464285000</f>
        <v>1464980000</v>
      </c>
      <c r="K22" s="10"/>
      <c r="L22" t="s">
        <v>0</v>
      </c>
    </row>
    <row r="23" spans="1:12" ht="15.75">
      <c r="A23" s="328" t="s">
        <v>416</v>
      </c>
      <c r="B23" s="76" t="s">
        <v>417</v>
      </c>
      <c r="C23" s="85" t="s">
        <v>415</v>
      </c>
      <c r="D23" s="100">
        <v>101.44</v>
      </c>
      <c r="E23" s="57">
        <v>95.45</v>
      </c>
      <c r="F23" s="100">
        <f t="shared" ref="F23:F25" si="0">AVERAGE(D23,E23)</f>
        <v>98.444999999999993</v>
      </c>
      <c r="G23" s="57">
        <v>100.8</v>
      </c>
      <c r="H23" s="379">
        <v>28542203</v>
      </c>
      <c r="I23" s="379">
        <v>0</v>
      </c>
      <c r="J23" s="379">
        <f>437046000+1861122000</f>
        <v>2298168000</v>
      </c>
      <c r="K23" s="10"/>
      <c r="L23" t="s">
        <v>0</v>
      </c>
    </row>
    <row r="24" spans="1:12" ht="15.75">
      <c r="A24" s="98" t="s">
        <v>418</v>
      </c>
      <c r="B24" s="76" t="s">
        <v>419</v>
      </c>
      <c r="C24" s="85" t="s">
        <v>415</v>
      </c>
      <c r="D24" s="100">
        <v>184.39</v>
      </c>
      <c r="E24" s="57">
        <v>147.97999999999999</v>
      </c>
      <c r="F24" s="100">
        <f t="shared" si="0"/>
        <v>166.185</v>
      </c>
      <c r="G24" s="57">
        <v>173.2</v>
      </c>
      <c r="H24" s="379">
        <v>252397140</v>
      </c>
      <c r="I24" s="379">
        <v>0</v>
      </c>
      <c r="J24" s="379">
        <f>172000000+20076000000</f>
        <v>20248000000</v>
      </c>
      <c r="K24" s="10"/>
    </row>
    <row r="25" spans="1:12" ht="16.5" thickBot="1">
      <c r="A25" s="299" t="s">
        <v>420</v>
      </c>
      <c r="B25" s="77" t="s">
        <v>421</v>
      </c>
      <c r="C25" s="92" t="s">
        <v>415</v>
      </c>
      <c r="D25" s="405">
        <v>191.6</v>
      </c>
      <c r="E25" s="406">
        <v>154.87</v>
      </c>
      <c r="F25" s="405">
        <f t="shared" si="0"/>
        <v>173.23500000000001</v>
      </c>
      <c r="G25" s="406">
        <v>173.84</v>
      </c>
      <c r="H25" s="380">
        <f>(134+725-0.2)*1000000</f>
        <v>858800000</v>
      </c>
      <c r="I25" s="358">
        <v>0</v>
      </c>
      <c r="J25" s="380">
        <f>17321000000+2341000000</f>
        <v>19662000000</v>
      </c>
      <c r="K25" s="10"/>
    </row>
    <row r="26" spans="1:12" ht="15.75">
      <c r="A26" s="102"/>
      <c r="B26" s="102"/>
      <c r="C26" s="102"/>
      <c r="D26" s="102"/>
      <c r="E26" s="102"/>
      <c r="F26" s="102"/>
      <c r="G26" s="102"/>
      <c r="H26" s="102"/>
      <c r="I26" s="102"/>
      <c r="J26" s="102"/>
      <c r="K26" s="10"/>
      <c r="L26" t="s">
        <v>0</v>
      </c>
    </row>
    <row r="27" spans="1:12" ht="15.75">
      <c r="A27" s="102"/>
      <c r="B27" s="102"/>
      <c r="C27" s="102"/>
      <c r="D27" s="102" t="s">
        <v>0</v>
      </c>
      <c r="E27" s="102"/>
      <c r="F27" s="102"/>
      <c r="G27" s="102"/>
      <c r="H27" s="102"/>
      <c r="I27" s="102"/>
      <c r="J27" s="102" t="s">
        <v>0</v>
      </c>
      <c r="K27" s="10"/>
    </row>
    <row r="28" spans="1:12" ht="16.5" thickBot="1">
      <c r="A28" s="103" t="s">
        <v>0</v>
      </c>
      <c r="B28" s="104"/>
      <c r="C28" s="104"/>
      <c r="D28" s="104"/>
      <c r="E28" s="104"/>
      <c r="F28" s="26"/>
      <c r="G28" s="104"/>
      <c r="H28" s="104"/>
      <c r="I28" s="104"/>
      <c r="J28" s="102"/>
      <c r="K28" s="102"/>
      <c r="L28" s="4"/>
    </row>
    <row r="29" spans="1:12" ht="15.75">
      <c r="A29" s="105"/>
      <c r="B29" s="106"/>
      <c r="C29" s="106"/>
      <c r="D29" s="106"/>
      <c r="E29" s="107" t="s">
        <v>0</v>
      </c>
      <c r="F29" s="107" t="s">
        <v>0</v>
      </c>
      <c r="G29" s="108"/>
      <c r="H29" s="106"/>
      <c r="I29" s="106"/>
      <c r="J29" s="109"/>
      <c r="K29" s="102"/>
      <c r="L29" s="4"/>
    </row>
    <row r="30" spans="1:12" ht="15.75">
      <c r="A30" s="84"/>
      <c r="B30" s="86"/>
      <c r="C30" s="86"/>
      <c r="D30" s="88" t="s">
        <v>381</v>
      </c>
      <c r="E30" s="86" t="s">
        <v>381</v>
      </c>
      <c r="F30" s="86" t="s">
        <v>381</v>
      </c>
      <c r="G30" s="88" t="s">
        <v>381</v>
      </c>
      <c r="H30" s="88" t="s">
        <v>381</v>
      </c>
      <c r="I30" s="88" t="s">
        <v>381</v>
      </c>
      <c r="J30" s="110" t="s">
        <v>381</v>
      </c>
      <c r="K30" s="10"/>
      <c r="L30" s="5"/>
    </row>
    <row r="31" spans="1:12" ht="15.75">
      <c r="A31" s="84" t="s">
        <v>0</v>
      </c>
      <c r="B31" s="86" t="s">
        <v>3</v>
      </c>
      <c r="C31" s="86" t="s">
        <v>5</v>
      </c>
      <c r="D31" s="86" t="s">
        <v>12</v>
      </c>
      <c r="E31" s="99" t="s">
        <v>154</v>
      </c>
      <c r="F31" s="99" t="s">
        <v>304</v>
      </c>
      <c r="G31" s="86" t="s">
        <v>212</v>
      </c>
      <c r="H31" s="99" t="s">
        <v>16</v>
      </c>
      <c r="I31" s="99" t="s">
        <v>17</v>
      </c>
      <c r="J31" s="111" t="s">
        <v>51</v>
      </c>
      <c r="K31" s="10"/>
      <c r="L31" s="5"/>
    </row>
    <row r="32" spans="1:12" ht="16.5" thickBot="1">
      <c r="A32" s="91" t="s">
        <v>2</v>
      </c>
      <c r="B32" s="93" t="s">
        <v>4</v>
      </c>
      <c r="C32" s="93" t="s">
        <v>6</v>
      </c>
      <c r="D32" s="93" t="s">
        <v>14</v>
      </c>
      <c r="E32" s="93" t="s">
        <v>14</v>
      </c>
      <c r="F32" s="93" t="s">
        <v>317</v>
      </c>
      <c r="G32" s="93" t="s">
        <v>14</v>
      </c>
      <c r="H32" s="93" t="s">
        <v>372</v>
      </c>
      <c r="I32" s="93" t="s">
        <v>0</v>
      </c>
      <c r="J32" s="112" t="s">
        <v>373</v>
      </c>
      <c r="K32" s="10"/>
      <c r="L32" s="1"/>
    </row>
    <row r="33" spans="1:12" ht="15.75">
      <c r="A33" s="275" t="s">
        <v>7</v>
      </c>
      <c r="B33" s="275" t="s">
        <v>7</v>
      </c>
      <c r="C33" s="275" t="s">
        <v>7</v>
      </c>
      <c r="D33" s="40" t="s">
        <v>15</v>
      </c>
      <c r="E33" s="40" t="s">
        <v>8</v>
      </c>
      <c r="F33" s="40" t="s">
        <v>8</v>
      </c>
      <c r="G33" s="40" t="s">
        <v>8</v>
      </c>
      <c r="H33" s="40" t="s">
        <v>15</v>
      </c>
      <c r="I33" s="40" t="s">
        <v>15</v>
      </c>
      <c r="J33" s="113" t="s">
        <v>15</v>
      </c>
      <c r="K33" s="10"/>
      <c r="L33" s="5"/>
    </row>
    <row r="34" spans="1:12" ht="15.75">
      <c r="A34" s="85"/>
      <c r="B34" s="85"/>
      <c r="C34" s="85"/>
      <c r="D34" s="102"/>
      <c r="E34" s="102"/>
      <c r="F34" s="60"/>
      <c r="G34" s="102"/>
      <c r="H34" s="60"/>
      <c r="I34" s="60"/>
      <c r="J34" s="114"/>
      <c r="K34" s="10"/>
      <c r="L34" s="4"/>
    </row>
    <row r="35" spans="1:12" ht="15.75">
      <c r="A35" s="97" t="str">
        <f t="shared" ref="A35:C38" si="1">+A22</f>
        <v>Air Transport Services Group</v>
      </c>
      <c r="B35" s="85" t="str">
        <f t="shared" si="1"/>
        <v>ATSG</v>
      </c>
      <c r="C35" s="85" t="str">
        <f t="shared" si="1"/>
        <v>Air Trans</v>
      </c>
      <c r="D35" s="336">
        <f>(+H22)*G22</f>
        <v>1879075152.8399999</v>
      </c>
      <c r="E35" s="377">
        <f>(1/1)*I22</f>
        <v>0</v>
      </c>
      <c r="F35" s="115">
        <f>+G60</f>
        <v>52214000</v>
      </c>
      <c r="G35" s="115">
        <f>J22*((1464.9-48.3)/1464.9)</f>
        <v>1416677362.2772887</v>
      </c>
      <c r="H35" s="101">
        <f>+D35+E35+F35+G35</f>
        <v>3347966515.1172886</v>
      </c>
      <c r="I35" s="116">
        <f t="shared" ref="I35" si="2">(+D35)/H35</f>
        <v>0.56125864591395735</v>
      </c>
      <c r="J35" s="117">
        <f>(+E35+F35+G35)/H35</f>
        <v>0.4387413540860427</v>
      </c>
      <c r="K35" s="10"/>
      <c r="L35" s="4"/>
    </row>
    <row r="36" spans="1:12" ht="15.75">
      <c r="A36" s="97" t="str">
        <f t="shared" si="1"/>
        <v>Atlas Air</v>
      </c>
      <c r="B36" s="85" t="str">
        <f t="shared" si="1"/>
        <v>AAWW</v>
      </c>
      <c r="C36" s="85" t="str">
        <f t="shared" si="1"/>
        <v>Air Trans</v>
      </c>
      <c r="D36" s="336">
        <f>(+H23)*G23</f>
        <v>2877054062.4000001</v>
      </c>
      <c r="E36" s="115">
        <f>(1/1)*I23</f>
        <v>0</v>
      </c>
      <c r="F36" s="115">
        <f>+G61</f>
        <v>165416000</v>
      </c>
      <c r="G36" s="115">
        <f>J23*(2364901/2230910)</f>
        <v>2436198592.2193189</v>
      </c>
      <c r="H36" s="101">
        <f t="shared" ref="H36:H38" si="3">+D36+E36+F36+G36</f>
        <v>5478668654.619319</v>
      </c>
      <c r="I36" s="116">
        <f t="shared" ref="I36:I38" si="4">(+D36)/H36</f>
        <v>0.5251374455679525</v>
      </c>
      <c r="J36" s="117">
        <f t="shared" ref="J36:J38" si="5">(+E36+F36+G36)/H36</f>
        <v>0.4748625544320475</v>
      </c>
      <c r="K36" s="10"/>
      <c r="L36" s="4"/>
    </row>
    <row r="37" spans="1:12" ht="15.75">
      <c r="A37" s="97" t="str">
        <f t="shared" si="1"/>
        <v xml:space="preserve">FedEx Corp </v>
      </c>
      <c r="B37" s="85" t="str">
        <f t="shared" si="1"/>
        <v>FDX</v>
      </c>
      <c r="C37" s="85" t="str">
        <f t="shared" si="1"/>
        <v>Air Trans</v>
      </c>
      <c r="D37" s="336">
        <f>(+H24)*G24</f>
        <v>43715184648</v>
      </c>
      <c r="E37" s="377">
        <f>(1/1)*I24</f>
        <v>0</v>
      </c>
      <c r="F37" s="115">
        <f>+G62</f>
        <v>17788000000</v>
      </c>
      <c r="G37" s="115">
        <f>J24*((17100/19700))</f>
        <v>17575675126.903553</v>
      </c>
      <c r="H37" s="101">
        <f t="shared" si="3"/>
        <v>79078859774.903549</v>
      </c>
      <c r="I37" s="116">
        <f t="shared" si="4"/>
        <v>0.55280494398167135</v>
      </c>
      <c r="J37" s="117">
        <f t="shared" si="5"/>
        <v>0.44719505601832865</v>
      </c>
      <c r="K37" s="10"/>
      <c r="L37" s="4"/>
    </row>
    <row r="38" spans="1:12" ht="16.5" thickBot="1">
      <c r="A38" s="361" t="str">
        <f t="shared" si="1"/>
        <v xml:space="preserve">United Parcel Service </v>
      </c>
      <c r="B38" s="92" t="str">
        <f t="shared" si="1"/>
        <v>UPS</v>
      </c>
      <c r="C38" s="92" t="str">
        <f t="shared" si="1"/>
        <v>Air Trans</v>
      </c>
      <c r="D38" s="335">
        <f>(+H25)*G25</f>
        <v>149293792000</v>
      </c>
      <c r="E38" s="357">
        <f>(1/1)*I25</f>
        <v>0</v>
      </c>
      <c r="F38" s="357">
        <f>+G63</f>
        <v>3613000000</v>
      </c>
      <c r="G38" s="358">
        <f>J25*(18200/19662)</f>
        <v>18200000000</v>
      </c>
      <c r="H38" s="358">
        <f t="shared" si="3"/>
        <v>171106792000</v>
      </c>
      <c r="I38" s="359">
        <f t="shared" si="4"/>
        <v>0.87251821073239455</v>
      </c>
      <c r="J38" s="360">
        <f t="shared" si="5"/>
        <v>0.12748178926760545</v>
      </c>
      <c r="K38" s="10"/>
      <c r="L38" s="4"/>
    </row>
    <row r="39" spans="1:12" ht="15.75">
      <c r="A39" s="10"/>
      <c r="B39" s="10"/>
      <c r="C39" s="10"/>
      <c r="D39" s="10"/>
      <c r="E39" s="10"/>
      <c r="F39" s="10"/>
      <c r="G39" s="10"/>
      <c r="H39" s="120" t="s">
        <v>45</v>
      </c>
      <c r="I39" s="123">
        <v>0.87250000000000005</v>
      </c>
      <c r="J39" s="123">
        <v>0.47489999999999999</v>
      </c>
      <c r="K39" s="10"/>
    </row>
    <row r="40" spans="1:12" ht="15.75">
      <c r="A40" s="10"/>
      <c r="B40" s="10"/>
      <c r="C40" s="10"/>
      <c r="D40" s="10"/>
      <c r="E40" s="10" t="s">
        <v>0</v>
      </c>
      <c r="F40" s="10"/>
      <c r="G40" s="10" t="s">
        <v>0</v>
      </c>
      <c r="H40" s="325" t="s">
        <v>46</v>
      </c>
      <c r="I40" s="378">
        <v>0.52510000000000001</v>
      </c>
      <c r="J40" s="378">
        <v>0.1275</v>
      </c>
      <c r="K40" s="10"/>
    </row>
    <row r="41" spans="1:12" ht="15.75">
      <c r="A41" s="10"/>
      <c r="B41" s="10"/>
      <c r="C41" s="10"/>
      <c r="D41" s="10"/>
      <c r="E41" s="121"/>
      <c r="F41" s="329" t="s">
        <v>0</v>
      </c>
      <c r="G41" s="10" t="s">
        <v>0</v>
      </c>
      <c r="H41" s="12" t="s">
        <v>18</v>
      </c>
      <c r="I41" s="122">
        <f>MEDIAN(I35:I38)</f>
        <v>0.5570317949478143</v>
      </c>
      <c r="J41" s="123">
        <f>MEDIAN(J35:J38)</f>
        <v>0.4429682050521857</v>
      </c>
      <c r="K41" s="10"/>
    </row>
    <row r="42" spans="1:12" ht="15.75">
      <c r="A42" s="10"/>
      <c r="B42" s="10"/>
      <c r="C42" s="10"/>
      <c r="D42" s="10" t="s">
        <v>0</v>
      </c>
      <c r="E42" s="304" t="s">
        <v>0</v>
      </c>
      <c r="F42" s="329" t="s">
        <v>0</v>
      </c>
      <c r="G42" s="10" t="s">
        <v>0</v>
      </c>
      <c r="H42" s="12" t="s">
        <v>443</v>
      </c>
      <c r="I42" s="122">
        <f>AVERAGE(I35:I38)</f>
        <v>0.62792981154899397</v>
      </c>
      <c r="J42" s="123">
        <f>AVERAGE(J35:J38)</f>
        <v>0.37207018845100609</v>
      </c>
      <c r="K42" s="10"/>
    </row>
    <row r="43" spans="1:12" ht="16.5" thickBot="1">
      <c r="A43" s="10"/>
      <c r="B43" s="10"/>
      <c r="C43" s="10"/>
      <c r="D43" s="10"/>
      <c r="E43" s="121"/>
      <c r="F43" s="10"/>
      <c r="G43" s="10"/>
      <c r="H43" s="10"/>
      <c r="I43" s="60"/>
      <c r="J43" s="60"/>
      <c r="K43" s="10"/>
    </row>
    <row r="44" spans="1:12" ht="21" thickBot="1">
      <c r="A44" s="10"/>
      <c r="B44" s="10"/>
      <c r="C44" s="10"/>
      <c r="D44" s="10"/>
      <c r="E44" s="121"/>
      <c r="F44" s="10"/>
      <c r="G44" s="10"/>
      <c r="H44" s="208" t="s">
        <v>214</v>
      </c>
      <c r="I44" s="305">
        <v>0.63</v>
      </c>
      <c r="J44" s="306">
        <v>0.37</v>
      </c>
      <c r="K44" s="10"/>
    </row>
    <row r="45" spans="1:12" ht="15.75">
      <c r="A45" s="10"/>
      <c r="B45" s="10"/>
      <c r="C45" s="10"/>
      <c r="D45" s="10"/>
      <c r="E45" s="121"/>
      <c r="F45" s="10"/>
      <c r="G45" s="10"/>
      <c r="H45" s="10"/>
      <c r="I45" s="60"/>
      <c r="J45" s="60" t="s">
        <v>0</v>
      </c>
      <c r="K45" s="10"/>
    </row>
    <row r="46" spans="1:12">
      <c r="E46" s="121"/>
      <c r="F46" s="10"/>
      <c r="G46" s="10"/>
      <c r="H46" s="10"/>
      <c r="I46" s="10"/>
      <c r="J46" s="10"/>
      <c r="K46" s="10"/>
    </row>
    <row r="47" spans="1:12">
      <c r="E47" s="121"/>
      <c r="F47" s="10"/>
      <c r="G47" s="10"/>
      <c r="H47" s="10"/>
      <c r="I47" s="10"/>
      <c r="J47" s="10"/>
      <c r="K47" s="10"/>
    </row>
    <row r="48" spans="1:12" ht="23.25">
      <c r="A48" s="20" t="s">
        <v>72</v>
      </c>
      <c r="B48" s="10"/>
      <c r="C48" s="71"/>
      <c r="D48" s="125"/>
      <c r="E48" s="330"/>
      <c r="H48" s="10"/>
      <c r="I48" s="10"/>
      <c r="J48" s="10"/>
      <c r="K48" s="10"/>
    </row>
    <row r="49" spans="1:11" ht="16.5">
      <c r="A49" s="82" t="s">
        <v>54</v>
      </c>
      <c r="B49" s="10"/>
      <c r="C49" s="71"/>
      <c r="D49" s="125"/>
      <c r="E49" s="330"/>
      <c r="H49" s="10"/>
      <c r="I49" s="10"/>
      <c r="J49" s="10"/>
      <c r="K49" s="10"/>
    </row>
    <row r="50" spans="1:11" ht="16.5">
      <c r="A50" s="10" t="s">
        <v>393</v>
      </c>
      <c r="B50" s="10"/>
      <c r="C50" s="71"/>
      <c r="D50" s="125"/>
      <c r="E50" s="330"/>
      <c r="H50" s="10"/>
      <c r="I50" s="10"/>
      <c r="J50" s="10"/>
      <c r="K50" s="10"/>
    </row>
    <row r="51" spans="1:11">
      <c r="A51" s="10" t="s">
        <v>158</v>
      </c>
      <c r="B51" s="10"/>
      <c r="C51" s="10"/>
      <c r="D51" s="10"/>
    </row>
    <row r="52" spans="1:11">
      <c r="A52" s="10" t="s">
        <v>156</v>
      </c>
      <c r="B52" s="10"/>
      <c r="C52" s="10"/>
      <c r="D52" s="10"/>
    </row>
    <row r="53" spans="1:11">
      <c r="A53" s="10" t="s">
        <v>157</v>
      </c>
      <c r="B53" s="10"/>
      <c r="C53" s="10"/>
      <c r="D53" s="10"/>
    </row>
    <row r="54" spans="1:11">
      <c r="A54" s="10" t="s">
        <v>324</v>
      </c>
      <c r="B54" s="10"/>
      <c r="C54" s="10"/>
      <c r="D54" s="10"/>
    </row>
    <row r="55" spans="1:11">
      <c r="A55" s="10" t="s">
        <v>422</v>
      </c>
      <c r="B55" s="10"/>
      <c r="C55" s="10"/>
      <c r="D55" s="10"/>
    </row>
    <row r="56" spans="1:11">
      <c r="A56" s="10" t="s">
        <v>423</v>
      </c>
      <c r="B56" s="10"/>
      <c r="C56" s="10"/>
      <c r="D56" s="10"/>
    </row>
    <row r="57" spans="1:11" ht="26.25">
      <c r="A57" s="273" t="s">
        <v>325</v>
      </c>
      <c r="B57" s="10"/>
      <c r="C57" s="10"/>
      <c r="D57" s="10"/>
    </row>
    <row r="58" spans="1:11" ht="17.25" customHeight="1">
      <c r="A58" s="273"/>
      <c r="B58" s="10"/>
      <c r="C58" s="10"/>
      <c r="D58" s="10"/>
    </row>
    <row r="59" spans="1:11" ht="26.25">
      <c r="A59" s="273" t="s">
        <v>394</v>
      </c>
      <c r="B59" s="10"/>
      <c r="C59" s="10"/>
      <c r="D59" s="362" t="s">
        <v>424</v>
      </c>
      <c r="E59" s="363" t="s">
        <v>2</v>
      </c>
      <c r="F59" s="364" t="s">
        <v>425</v>
      </c>
      <c r="G59" s="364" t="s">
        <v>426</v>
      </c>
    </row>
    <row r="60" spans="1:11" ht="15.75">
      <c r="A60" s="129" t="s">
        <v>0</v>
      </c>
      <c r="B60" s="10"/>
      <c r="C60" s="10"/>
      <c r="D60" s="381">
        <v>454804000</v>
      </c>
      <c r="E60" s="382" t="s">
        <v>413</v>
      </c>
      <c r="F60" s="383">
        <v>74070000</v>
      </c>
      <c r="G60" s="384">
        <f>639000+51575000</f>
        <v>52214000</v>
      </c>
    </row>
    <row r="61" spans="1:11" ht="15.75">
      <c r="A61" s="129" t="s">
        <v>0</v>
      </c>
      <c r="B61" s="10"/>
      <c r="C61" s="10"/>
      <c r="D61" s="385">
        <v>52268000</v>
      </c>
      <c r="E61" s="386" t="s">
        <v>416</v>
      </c>
      <c r="F61" s="387">
        <v>107707000</v>
      </c>
      <c r="G61" s="387">
        <f>53825000+111591000</f>
        <v>165416000</v>
      </c>
    </row>
    <row r="62" spans="1:11" ht="15.75">
      <c r="A62" s="129" t="s">
        <v>0</v>
      </c>
      <c r="B62" s="10"/>
      <c r="C62" s="10"/>
      <c r="D62" s="385">
        <v>2498000000</v>
      </c>
      <c r="E62" s="382" t="s">
        <v>418</v>
      </c>
      <c r="F62" s="387">
        <v>17373000000</v>
      </c>
      <c r="G62" s="387">
        <v>17788000000</v>
      </c>
    </row>
    <row r="63" spans="1:11" ht="15.75">
      <c r="A63" s="129" t="s">
        <v>0</v>
      </c>
      <c r="B63" s="10"/>
      <c r="C63" s="10"/>
      <c r="D63" s="365">
        <v>1247000000</v>
      </c>
      <c r="E63" s="388" t="s">
        <v>420</v>
      </c>
      <c r="F63" s="366">
        <v>3562000000</v>
      </c>
      <c r="G63" s="366">
        <v>3613000000</v>
      </c>
    </row>
    <row r="64" spans="1:11" ht="20.25" customHeight="1">
      <c r="A64" s="129" t="s">
        <v>0</v>
      </c>
      <c r="B64" s="10"/>
      <c r="C64" s="10"/>
      <c r="D64" s="10"/>
    </row>
    <row r="65" spans="1:4">
      <c r="A65" s="332"/>
      <c r="B65" s="10"/>
      <c r="C65" s="10"/>
      <c r="D65" s="10"/>
    </row>
    <row r="66" spans="1:4">
      <c r="B66" s="10"/>
      <c r="C66" s="10"/>
      <c r="D66" s="10"/>
    </row>
    <row r="67" spans="1:4" ht="23.25">
      <c r="A67" s="331"/>
    </row>
  </sheetData>
  <pageMargins left="0.25" right="0.25" top="0.75" bottom="0.75" header="0.3" footer="0.3"/>
  <pageSetup scale="39" orientation="landscape" r:id="rId1"/>
  <rowBreaks count="1" manualBreakCount="1">
    <brk id="44" max="11" man="1"/>
  </rowBreaks>
  <colBreaks count="1" manualBreakCount="1">
    <brk id="11" max="63"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I56"/>
  <sheetViews>
    <sheetView view="pageBreakPreview" topLeftCell="A16" zoomScale="70" zoomScaleNormal="80" zoomScaleSheetLayoutView="70" zoomScalePageLayoutView="70" workbookViewId="0">
      <pane xSplit="1" topLeftCell="B1" activePane="topRight" state="frozen"/>
      <selection pane="topRight" activeCell="E4" sqref="E4"/>
    </sheetView>
  </sheetViews>
  <sheetFormatPr defaultRowHeight="15"/>
  <cols>
    <col min="1" max="1" width="62.42578125" customWidth="1"/>
    <col min="2" max="2" width="11.5703125" bestFit="1" customWidth="1"/>
    <col min="3" max="3" width="20.42578125" bestFit="1"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1" t="s">
        <v>1</v>
      </c>
      <c r="B1" s="10"/>
      <c r="C1" s="10"/>
      <c r="D1" s="10"/>
      <c r="E1" s="10"/>
      <c r="F1" s="10"/>
      <c r="G1" s="10"/>
      <c r="H1" s="10"/>
    </row>
    <row r="2" spans="1:9" ht="15.75">
      <c r="A2" s="22" t="s">
        <v>9</v>
      </c>
      <c r="B2" s="10"/>
      <c r="C2" s="10"/>
      <c r="D2" s="10"/>
      <c r="E2" s="10"/>
      <c r="F2" s="10"/>
      <c r="G2" s="10"/>
      <c r="H2" s="10"/>
    </row>
    <row r="3" spans="1:9">
      <c r="A3" s="23" t="s">
        <v>62</v>
      </c>
      <c r="B3" s="10"/>
      <c r="C3" s="10"/>
      <c r="D3" s="10"/>
      <c r="E3" s="10"/>
      <c r="F3" s="10"/>
      <c r="G3" s="10"/>
      <c r="H3" s="10"/>
    </row>
    <row r="4" spans="1:9">
      <c r="A4" s="23"/>
      <c r="B4" s="10"/>
      <c r="C4" s="10"/>
      <c r="D4" s="10"/>
      <c r="E4" s="10"/>
      <c r="F4" s="207" t="s">
        <v>0</v>
      </c>
      <c r="G4" s="10"/>
      <c r="H4" s="10"/>
    </row>
    <row r="5" spans="1:9">
      <c r="B5" s="10"/>
      <c r="C5" s="10"/>
      <c r="D5" s="10"/>
      <c r="E5" s="24"/>
      <c r="F5" s="207" t="s">
        <v>0</v>
      </c>
      <c r="G5" s="10"/>
      <c r="H5" s="10" t="s">
        <v>0</v>
      </c>
    </row>
    <row r="6" spans="1:9">
      <c r="A6" s="82"/>
      <c r="B6" s="32"/>
      <c r="C6" s="32"/>
      <c r="D6" s="32"/>
      <c r="E6" s="32"/>
      <c r="F6" s="32"/>
      <c r="G6" s="12"/>
      <c r="H6" s="81"/>
      <c r="I6" s="3"/>
    </row>
    <row r="7" spans="1:9">
      <c r="A7" s="41"/>
      <c r="B7" s="41"/>
      <c r="C7" s="41"/>
      <c r="D7" s="41"/>
      <c r="E7" s="41"/>
      <c r="F7" s="41"/>
      <c r="G7" s="41"/>
      <c r="H7" s="41"/>
      <c r="I7" s="2"/>
    </row>
    <row r="8" spans="1:9" ht="15.75" thickBot="1">
      <c r="A8" s="41"/>
      <c r="B8" s="41"/>
      <c r="C8" s="41"/>
      <c r="D8" s="83"/>
      <c r="E8" s="26"/>
      <c r="F8" s="83"/>
      <c r="H8" s="41"/>
      <c r="I8" s="2"/>
    </row>
    <row r="9" spans="1:9" ht="21" thickBot="1">
      <c r="A9" s="25" t="str">
        <f>+'S&amp;D'!A12</f>
        <v>Air Freight Carriers</v>
      </c>
      <c r="B9" s="41"/>
      <c r="C9" s="41"/>
      <c r="D9" s="41"/>
      <c r="E9" s="29" t="s">
        <v>315</v>
      </c>
      <c r="F9" s="41"/>
      <c r="H9" s="10"/>
    </row>
    <row r="10" spans="1:9" ht="18.75" thickBot="1">
      <c r="A10" s="28"/>
      <c r="B10" s="41"/>
      <c r="C10" s="41"/>
      <c r="D10" s="83"/>
      <c r="E10" s="34" t="s">
        <v>76</v>
      </c>
      <c r="F10" s="83"/>
      <c r="H10" s="10"/>
    </row>
    <row r="11" spans="1:9" ht="18">
      <c r="A11" s="28"/>
      <c r="B11" s="41"/>
      <c r="C11" s="41"/>
      <c r="D11" s="41"/>
      <c r="E11" s="32"/>
      <c r="F11" s="41"/>
      <c r="H11" s="10"/>
    </row>
    <row r="12" spans="1:9" ht="18">
      <c r="A12" s="28"/>
      <c r="B12" s="41"/>
      <c r="C12" s="41"/>
      <c r="D12" s="41"/>
      <c r="E12" s="32"/>
      <c r="F12" s="41"/>
      <c r="H12" s="10"/>
    </row>
    <row r="13" spans="1:9">
      <c r="B13" s="41"/>
      <c r="C13" s="41"/>
      <c r="D13" s="41"/>
      <c r="E13" s="32"/>
      <c r="F13" s="41"/>
      <c r="H13" s="10"/>
    </row>
    <row r="14" spans="1:9" ht="18">
      <c r="A14" s="28"/>
      <c r="B14" s="41"/>
      <c r="C14" s="41"/>
      <c r="D14" s="41"/>
      <c r="E14" s="11" t="s">
        <v>0</v>
      </c>
      <c r="F14" s="41"/>
      <c r="H14" s="10"/>
    </row>
    <row r="15" spans="1:9" ht="15.75" thickBot="1">
      <c r="A15" s="39" t="s">
        <v>0</v>
      </c>
      <c r="B15" s="39" t="s">
        <v>0</v>
      </c>
      <c r="C15" s="39" t="s">
        <v>0</v>
      </c>
      <c r="D15" s="39"/>
      <c r="E15" s="39"/>
      <c r="F15" s="39"/>
      <c r="H15" s="10"/>
    </row>
    <row r="16" spans="1:9" ht="15.75">
      <c r="A16" s="256"/>
      <c r="B16" s="257"/>
      <c r="C16" s="258"/>
      <c r="D16" s="241" t="s">
        <v>0</v>
      </c>
      <c r="E16" s="242" t="s">
        <v>0</v>
      </c>
      <c r="F16" s="241" t="s">
        <v>0</v>
      </c>
      <c r="H16" s="10"/>
    </row>
    <row r="17" spans="1:8" ht="15.75">
      <c r="A17" s="84" t="s">
        <v>0</v>
      </c>
      <c r="B17" s="85" t="s">
        <v>3</v>
      </c>
      <c r="C17" s="86" t="s">
        <v>5</v>
      </c>
      <c r="D17" s="87" t="s">
        <v>0</v>
      </c>
      <c r="E17" s="243" t="s">
        <v>0</v>
      </c>
      <c r="F17" s="87" t="s">
        <v>307</v>
      </c>
      <c r="H17" s="10"/>
    </row>
    <row r="18" spans="1:8" ht="15.75">
      <c r="A18" s="84"/>
      <c r="B18" s="85" t="s">
        <v>4</v>
      </c>
      <c r="C18" s="86" t="s">
        <v>6</v>
      </c>
      <c r="D18" s="87" t="s">
        <v>316</v>
      </c>
      <c r="E18" s="243" t="s">
        <v>316</v>
      </c>
      <c r="F18" s="87" t="s">
        <v>132</v>
      </c>
      <c r="H18" s="10"/>
    </row>
    <row r="19" spans="1:8" ht="17.25" thickBot="1">
      <c r="A19" s="91" t="s">
        <v>2</v>
      </c>
      <c r="B19" s="92" t="s">
        <v>0</v>
      </c>
      <c r="C19" s="93" t="s">
        <v>0</v>
      </c>
      <c r="D19" s="293" t="s">
        <v>305</v>
      </c>
      <c r="E19" s="292" t="s">
        <v>60</v>
      </c>
      <c r="F19" s="92" t="s">
        <v>0</v>
      </c>
      <c r="H19" s="10"/>
    </row>
    <row r="20" spans="1:8">
      <c r="A20" s="294" t="s">
        <v>7</v>
      </c>
      <c r="B20" s="275" t="s">
        <v>7</v>
      </c>
      <c r="C20" s="295" t="s">
        <v>7</v>
      </c>
      <c r="D20" s="275" t="s">
        <v>7</v>
      </c>
      <c r="E20" s="303" t="s">
        <v>306</v>
      </c>
      <c r="F20" s="96"/>
      <c r="H20" s="10"/>
    </row>
    <row r="21" spans="1:8" ht="15.75">
      <c r="A21" s="84"/>
      <c r="B21" s="85"/>
      <c r="C21" s="86"/>
      <c r="D21" s="85"/>
      <c r="E21" s="244"/>
      <c r="F21" s="85"/>
      <c r="H21" s="10"/>
    </row>
    <row r="22" spans="1:8" ht="15.75">
      <c r="A22" s="98" t="str">
        <f>+'S&amp;D'!A22</f>
        <v>Air Transport Services Group</v>
      </c>
      <c r="B22" s="76" t="str">
        <f>+'S&amp;D'!B22</f>
        <v>ATSG</v>
      </c>
      <c r="C22" s="86" t="str">
        <f>+'S&amp;D'!C22</f>
        <v>Air Trans</v>
      </c>
      <c r="D22" s="259">
        <f>+'S&amp;D'!D35</f>
        <v>1879075152.8399999</v>
      </c>
      <c r="E22" s="260">
        <v>1412506000</v>
      </c>
      <c r="F22" s="100">
        <f>+D22/E22</f>
        <v>1.3303130413888506</v>
      </c>
      <c r="H22" s="10"/>
    </row>
    <row r="23" spans="1:8" ht="15.75">
      <c r="A23" s="98" t="str">
        <f>+'S&amp;D'!A23</f>
        <v>Atlas Air</v>
      </c>
      <c r="B23" s="76" t="str">
        <f>+'S&amp;D'!B23</f>
        <v>AAWW</v>
      </c>
      <c r="C23" s="86" t="str">
        <f>+'S&amp;D'!C23</f>
        <v>Air Trans</v>
      </c>
      <c r="D23" s="259">
        <f>+'S&amp;D'!D36</f>
        <v>2877054062.4000001</v>
      </c>
      <c r="E23" s="260">
        <v>3064776000</v>
      </c>
      <c r="F23" s="100">
        <f t="shared" ref="F23:F25" si="0">+D23/E23</f>
        <v>0.93874856185248123</v>
      </c>
      <c r="H23" s="10"/>
    </row>
    <row r="24" spans="1:8" ht="15.75">
      <c r="A24" s="98" t="str">
        <f>+'S&amp;D'!A24</f>
        <v xml:space="preserve">FedEx Corp </v>
      </c>
      <c r="B24" s="76" t="str">
        <f>+'S&amp;D'!B24</f>
        <v>FDX</v>
      </c>
      <c r="C24" s="86" t="str">
        <f>+'S&amp;D'!C24</f>
        <v>Air Trans</v>
      </c>
      <c r="D24" s="259">
        <f>+'S&amp;D'!D37</f>
        <v>43715184648</v>
      </c>
      <c r="E24" s="260">
        <v>24115000000</v>
      </c>
      <c r="F24" s="100">
        <f t="shared" si="0"/>
        <v>1.8127797905038359</v>
      </c>
      <c r="H24" s="10"/>
    </row>
    <row r="25" spans="1:8" ht="16.5" thickBot="1">
      <c r="A25" s="98" t="str">
        <f>+'S&amp;D'!A25</f>
        <v xml:space="preserve">United Parcel Service </v>
      </c>
      <c r="B25" s="76" t="str">
        <f>+'S&amp;D'!B25</f>
        <v>UPS</v>
      </c>
      <c r="C25" s="86" t="str">
        <f>+'S&amp;D'!C25</f>
        <v>Air Trans</v>
      </c>
      <c r="D25" s="259">
        <f>+'S&amp;D'!D38</f>
        <v>149293792000</v>
      </c>
      <c r="E25" s="334">
        <v>19786000000</v>
      </c>
      <c r="F25" s="100">
        <f t="shared" si="0"/>
        <v>7.5454256545031839</v>
      </c>
      <c r="H25" s="10"/>
    </row>
    <row r="26" spans="1:8" ht="16.5" thickBot="1">
      <c r="A26" s="299" t="s">
        <v>0</v>
      </c>
      <c r="B26" s="77" t="s">
        <v>0</v>
      </c>
      <c r="C26" s="93" t="s">
        <v>0</v>
      </c>
      <c r="D26" s="300" t="s">
        <v>0</v>
      </c>
      <c r="E26" s="334" t="s">
        <v>0</v>
      </c>
      <c r="F26" s="100" t="s">
        <v>0</v>
      </c>
      <c r="G26" t="s">
        <v>0</v>
      </c>
      <c r="H26" s="10"/>
    </row>
    <row r="27" spans="1:8" ht="27" customHeight="1" thickBot="1">
      <c r="A27" s="118"/>
      <c r="B27" s="104"/>
      <c r="C27" s="104"/>
      <c r="D27" s="119"/>
      <c r="E27" s="333" t="s">
        <v>314</v>
      </c>
      <c r="F27" s="209">
        <f>AVERAGE(F22:F26)</f>
        <v>2.9068167620620882</v>
      </c>
      <c r="H27" s="10"/>
    </row>
    <row r="28" spans="1:8" ht="15.75">
      <c r="A28" s="102"/>
      <c r="B28" s="102"/>
      <c r="C28" s="102"/>
      <c r="D28" s="102"/>
      <c r="E28" s="253"/>
      <c r="F28" s="255"/>
      <c r="H28" s="10"/>
    </row>
    <row r="29" spans="1:8" ht="15.75">
      <c r="A29" s="102"/>
      <c r="B29" s="102"/>
      <c r="C29" s="102"/>
      <c r="D29" s="102"/>
      <c r="E29" s="253"/>
      <c r="F29" s="255"/>
      <c r="H29" s="10"/>
    </row>
    <row r="30" spans="1:8" ht="15.75">
      <c r="A30" s="102"/>
      <c r="B30" s="102"/>
      <c r="C30" s="102"/>
      <c r="D30" s="102"/>
      <c r="E30" s="253"/>
      <c r="F30" s="255"/>
      <c r="H30" s="10"/>
    </row>
    <row r="31" spans="1:8" ht="16.5" thickBot="1">
      <c r="A31" s="102"/>
      <c r="B31" s="102"/>
      <c r="C31" s="102"/>
      <c r="D31" s="102"/>
      <c r="E31" s="102"/>
      <c r="F31" s="102"/>
      <c r="H31" s="10"/>
    </row>
    <row r="32" spans="1:8" ht="15.75">
      <c r="A32" s="256"/>
      <c r="B32" s="257"/>
      <c r="C32" s="258"/>
      <c r="D32" s="241" t="s">
        <v>0</v>
      </c>
      <c r="E32" s="242" t="s">
        <v>0</v>
      </c>
      <c r="F32" s="241" t="s">
        <v>0</v>
      </c>
      <c r="H32" s="10"/>
    </row>
    <row r="33" spans="1:8" ht="15.75">
      <c r="A33" s="84" t="s">
        <v>0</v>
      </c>
      <c r="B33" s="85" t="s">
        <v>3</v>
      </c>
      <c r="C33" s="86" t="s">
        <v>5</v>
      </c>
      <c r="D33" s="87" t="s">
        <v>0</v>
      </c>
      <c r="E33" s="243" t="s">
        <v>0</v>
      </c>
      <c r="F33" s="87" t="s">
        <v>307</v>
      </c>
      <c r="H33" s="10"/>
    </row>
    <row r="34" spans="1:8" ht="15.75">
      <c r="A34" s="84"/>
      <c r="B34" s="85" t="s">
        <v>4</v>
      </c>
      <c r="C34" s="86" t="s">
        <v>6</v>
      </c>
      <c r="D34" s="87" t="s">
        <v>308</v>
      </c>
      <c r="E34" s="243" t="s">
        <v>308</v>
      </c>
      <c r="F34" s="87" t="s">
        <v>132</v>
      </c>
    </row>
    <row r="35" spans="1:8" ht="17.25" thickBot="1">
      <c r="A35" s="91" t="s">
        <v>2</v>
      </c>
      <c r="B35" s="92" t="s">
        <v>0</v>
      </c>
      <c r="C35" s="93" t="s">
        <v>0</v>
      </c>
      <c r="D35" s="293" t="s">
        <v>305</v>
      </c>
      <c r="E35" s="292" t="s">
        <v>60</v>
      </c>
      <c r="F35" s="92" t="s">
        <v>0</v>
      </c>
    </row>
    <row r="36" spans="1:8">
      <c r="A36" s="294" t="s">
        <v>7</v>
      </c>
      <c r="B36" s="275" t="s">
        <v>7</v>
      </c>
      <c r="C36" s="295" t="s">
        <v>7</v>
      </c>
      <c r="D36" s="275" t="s">
        <v>306</v>
      </c>
      <c r="E36" s="113" t="s">
        <v>306</v>
      </c>
      <c r="F36" s="96"/>
    </row>
    <row r="37" spans="1:8" ht="15.75">
      <c r="A37" s="84"/>
      <c r="B37" s="85"/>
      <c r="C37" s="86"/>
      <c r="D37" s="85"/>
      <c r="E37" s="244"/>
      <c r="F37" s="85"/>
    </row>
    <row r="38" spans="1:8" ht="15.75">
      <c r="A38" s="98" t="str">
        <f t="shared" ref="A38:C42" si="1">+A22</f>
        <v>Air Transport Services Group</v>
      </c>
      <c r="B38" s="76" t="str">
        <f t="shared" si="1"/>
        <v>ATSG</v>
      </c>
      <c r="C38" s="86" t="str">
        <f t="shared" si="1"/>
        <v>Air Trans</v>
      </c>
      <c r="D38" s="259">
        <f>+'S&amp;D'!G35</f>
        <v>1416677362.2772887</v>
      </c>
      <c r="E38" s="260">
        <f>+'S&amp;D'!J22</f>
        <v>1464980000</v>
      </c>
      <c r="F38" s="100">
        <f>+D38/E38</f>
        <v>0.96702846610690163</v>
      </c>
    </row>
    <row r="39" spans="1:8" ht="15.75">
      <c r="A39" s="98" t="str">
        <f t="shared" si="1"/>
        <v>Atlas Air</v>
      </c>
      <c r="B39" s="76" t="str">
        <f t="shared" si="1"/>
        <v>AAWW</v>
      </c>
      <c r="C39" s="86" t="str">
        <f t="shared" si="1"/>
        <v>Air Trans</v>
      </c>
      <c r="D39" s="259">
        <f>+'S&amp;D'!G36</f>
        <v>2436198592.2193189</v>
      </c>
      <c r="E39" s="260">
        <f>+'S&amp;D'!J23</f>
        <v>2298168000</v>
      </c>
      <c r="F39" s="100">
        <f t="shared" ref="F39:F41" si="2">+D39/E39</f>
        <v>1.0600611409693803</v>
      </c>
    </row>
    <row r="40" spans="1:8" ht="15.75">
      <c r="A40" s="98" t="str">
        <f t="shared" si="1"/>
        <v xml:space="preserve">FedEx Corp </v>
      </c>
      <c r="B40" s="76" t="str">
        <f t="shared" si="1"/>
        <v>FDX</v>
      </c>
      <c r="C40" s="86" t="str">
        <f t="shared" si="1"/>
        <v>Air Trans</v>
      </c>
      <c r="D40" s="259">
        <f>+'S&amp;D'!G37</f>
        <v>17575675126.903553</v>
      </c>
      <c r="E40" s="260">
        <f>+'S&amp;D'!J24</f>
        <v>20248000000</v>
      </c>
      <c r="F40" s="100">
        <f t="shared" si="2"/>
        <v>0.86802030456852786</v>
      </c>
    </row>
    <row r="41" spans="1:8" ht="15.75">
      <c r="A41" s="98" t="str">
        <f t="shared" si="1"/>
        <v xml:space="preserve">United Parcel Service </v>
      </c>
      <c r="B41" s="76" t="str">
        <f t="shared" si="1"/>
        <v>UPS</v>
      </c>
      <c r="C41" s="86" t="str">
        <f t="shared" si="1"/>
        <v>Air Trans</v>
      </c>
      <c r="D41" s="259">
        <f>+'S&amp;D'!G38</f>
        <v>18200000000</v>
      </c>
      <c r="E41" s="260">
        <f>+'S&amp;D'!J25</f>
        <v>19662000000</v>
      </c>
      <c r="F41" s="100">
        <f t="shared" si="2"/>
        <v>0.92564337300376365</v>
      </c>
    </row>
    <row r="42" spans="1:8" ht="16.5" thickBot="1">
      <c r="A42" s="299" t="str">
        <f t="shared" si="1"/>
        <v xml:space="preserve"> </v>
      </c>
      <c r="B42" s="77" t="s">
        <v>0</v>
      </c>
      <c r="C42" s="93" t="s">
        <v>0</v>
      </c>
      <c r="D42" s="300" t="s">
        <v>0</v>
      </c>
      <c r="E42" s="260" t="s">
        <v>0</v>
      </c>
      <c r="F42" s="100" t="s">
        <v>0</v>
      </c>
      <c r="G42" t="s">
        <v>0</v>
      </c>
    </row>
    <row r="43" spans="1:8" ht="27.75" customHeight="1" thickBot="1">
      <c r="A43" s="296"/>
      <c r="B43" s="153"/>
      <c r="C43" s="153"/>
      <c r="D43" s="297"/>
      <c r="E43" s="298" t="s">
        <v>314</v>
      </c>
      <c r="F43" s="209">
        <f>AVERAGE(F38:F42)</f>
        <v>0.95518832116214325</v>
      </c>
    </row>
    <row r="48" spans="1:8">
      <c r="C48" s="245" t="s">
        <v>309</v>
      </c>
      <c r="D48" s="245" t="s">
        <v>310</v>
      </c>
      <c r="E48" s="245"/>
    </row>
    <row r="49" spans="1:6">
      <c r="A49" s="247"/>
      <c r="B49" s="247"/>
      <c r="C49" s="246" t="s">
        <v>35</v>
      </c>
      <c r="D49" s="246" t="s">
        <v>311</v>
      </c>
      <c r="E49" s="246" t="s">
        <v>312</v>
      </c>
    </row>
    <row r="50" spans="1:6" ht="15.75">
      <c r="A50" s="86" t="s">
        <v>39</v>
      </c>
      <c r="B50" s="141" t="s">
        <v>0</v>
      </c>
      <c r="C50" s="141">
        <f>+'Yield CapRate'!C23</f>
        <v>0.63</v>
      </c>
      <c r="D50" s="251">
        <f>+F27</f>
        <v>2.9068167620620882</v>
      </c>
      <c r="E50" s="252">
        <f>+C50*D50</f>
        <v>1.8312945600991155</v>
      </c>
      <c r="F50" s="142" t="s">
        <v>0</v>
      </c>
    </row>
    <row r="51" spans="1:6" ht="15.75">
      <c r="A51" s="248" t="s">
        <v>41</v>
      </c>
      <c r="B51" s="249" t="str">
        <f>'S&amp;D'!I32</f>
        <v xml:space="preserve"> </v>
      </c>
      <c r="C51" s="249">
        <f>+'Yield CapRate'!C25</f>
        <v>0.37</v>
      </c>
      <c r="D51" s="250">
        <f>+F43</f>
        <v>0.95518832116214325</v>
      </c>
      <c r="E51" s="250">
        <f>+C51*D51</f>
        <v>0.35341967882999298</v>
      </c>
      <c r="F51" s="142" t="s">
        <v>0</v>
      </c>
    </row>
    <row r="52" spans="1:6">
      <c r="D52" s="253" t="s">
        <v>313</v>
      </c>
      <c r="E52" s="254">
        <f>+E50+E51</f>
        <v>2.1847142389291085</v>
      </c>
    </row>
    <row r="55" spans="1:6" ht="18">
      <c r="A55" s="28" t="s">
        <v>445</v>
      </c>
    </row>
    <row r="56" spans="1:6" ht="19.5" customHeight="1">
      <c r="A56" s="28" t="s">
        <v>389</v>
      </c>
    </row>
  </sheetData>
  <pageMargins left="0.25" right="0.25" top="0.75" bottom="0.75" header="0.3" footer="0.3"/>
  <pageSetup scale="56" orientation="landscape" r:id="rId1"/>
  <rowBreaks count="1" manualBreakCount="1">
    <brk id="31"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73"/>
  <sheetViews>
    <sheetView view="pageBreakPreview" zoomScale="70" zoomScaleNormal="80" zoomScaleSheetLayoutView="70" workbookViewId="0">
      <selection activeCell="L31" sqref="L31"/>
    </sheetView>
  </sheetViews>
  <sheetFormatPr defaultRowHeight="15"/>
  <cols>
    <col min="1" max="1" width="41" customWidth="1"/>
    <col min="2" max="2" width="10.85546875" bestFit="1" customWidth="1"/>
    <col min="3" max="3" width="10.7109375" customWidth="1"/>
    <col min="4" max="4" width="28.570312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1" t="s">
        <v>1</v>
      </c>
      <c r="B1" s="10"/>
      <c r="C1" s="10"/>
      <c r="D1" s="10"/>
      <c r="E1" s="10"/>
      <c r="F1" s="10"/>
      <c r="G1" s="10"/>
      <c r="H1" s="10"/>
      <c r="I1" s="10"/>
      <c r="J1" s="10"/>
      <c r="K1" s="10"/>
      <c r="L1" s="10"/>
    </row>
    <row r="2" spans="1:12" ht="15.75">
      <c r="A2" s="22" t="s">
        <v>9</v>
      </c>
      <c r="B2" s="10"/>
      <c r="C2" s="10"/>
      <c r="D2" s="10"/>
      <c r="E2" s="10"/>
      <c r="F2" s="10"/>
      <c r="G2" s="10"/>
      <c r="H2" s="10"/>
      <c r="I2" s="10"/>
      <c r="J2" s="10"/>
      <c r="K2" s="10"/>
      <c r="L2" s="10"/>
    </row>
    <row r="3" spans="1:12">
      <c r="A3" s="23" t="s">
        <v>62</v>
      </c>
      <c r="B3" s="10"/>
      <c r="C3" s="10"/>
      <c r="D3" s="10"/>
      <c r="E3" s="10"/>
      <c r="F3" s="10"/>
      <c r="G3" s="10"/>
      <c r="H3" s="10"/>
      <c r="I3" s="10"/>
      <c r="J3" s="10"/>
      <c r="K3" s="10"/>
      <c r="L3" s="10"/>
    </row>
    <row r="4" spans="1:12">
      <c r="A4" s="23"/>
      <c r="B4" s="10"/>
      <c r="C4" s="10"/>
      <c r="D4" s="10"/>
      <c r="E4" s="10"/>
      <c r="F4" s="10"/>
      <c r="G4" s="10"/>
      <c r="H4" s="10"/>
      <c r="I4" s="10"/>
      <c r="J4" s="10"/>
      <c r="K4" s="10"/>
      <c r="L4" s="10"/>
    </row>
    <row r="5" spans="1:12">
      <c r="A5" s="23"/>
      <c r="B5" s="10"/>
      <c r="C5" s="10"/>
      <c r="D5" s="10"/>
      <c r="E5" s="10"/>
      <c r="F5" s="10"/>
      <c r="G5" s="10"/>
      <c r="H5" s="10"/>
      <c r="I5" s="10"/>
      <c r="J5" s="10"/>
      <c r="K5" s="10"/>
      <c r="L5" s="10"/>
    </row>
    <row r="6" spans="1:12">
      <c r="A6" s="23"/>
      <c r="B6" s="10"/>
      <c r="C6" s="10"/>
      <c r="D6" s="10"/>
      <c r="E6" s="10"/>
      <c r="F6" s="10"/>
      <c r="G6" s="10"/>
      <c r="H6" s="10"/>
      <c r="I6" s="10"/>
      <c r="J6" s="10"/>
      <c r="K6" s="10"/>
      <c r="L6" s="10"/>
    </row>
    <row r="7" spans="1:12" ht="15.75" thickBot="1">
      <c r="A7" s="10"/>
      <c r="B7" s="10"/>
      <c r="C7" s="10"/>
      <c r="D7" s="10"/>
      <c r="E7" s="10"/>
      <c r="F7" s="26"/>
      <c r="G7" s="26"/>
      <c r="H7" s="27" t="s">
        <v>0</v>
      </c>
      <c r="I7" s="10"/>
      <c r="J7" s="10"/>
      <c r="K7" s="10"/>
      <c r="L7" s="10"/>
    </row>
    <row r="8" spans="1:12" ht="21" thickBot="1">
      <c r="A8" s="266" t="str">
        <f>+'S&amp;D'!A12</f>
        <v>Air Freight Carriers</v>
      </c>
      <c r="B8" s="267"/>
      <c r="C8" s="200"/>
      <c r="D8" s="10"/>
      <c r="E8" s="10"/>
      <c r="F8" s="10"/>
      <c r="G8" s="29" t="s">
        <v>78</v>
      </c>
      <c r="H8" s="10"/>
      <c r="I8" s="10"/>
      <c r="J8" s="10"/>
      <c r="K8" s="10"/>
      <c r="L8" s="10"/>
    </row>
    <row r="9" spans="1:12" ht="18">
      <c r="A9" s="28"/>
      <c r="B9" s="10"/>
      <c r="C9" s="10"/>
      <c r="D9" s="10"/>
      <c r="E9" s="10"/>
      <c r="F9" s="10"/>
      <c r="G9" s="86" t="s">
        <v>79</v>
      </c>
      <c r="H9" s="10"/>
      <c r="I9" s="10"/>
      <c r="J9" s="10"/>
      <c r="K9" s="10"/>
      <c r="L9" s="10"/>
    </row>
    <row r="10" spans="1:12" ht="18" customHeight="1" thickBot="1">
      <c r="A10" s="38" t="s">
        <v>0</v>
      </c>
      <c r="B10" s="38" t="s">
        <v>0</v>
      </c>
      <c r="C10" s="38" t="s">
        <v>0</v>
      </c>
      <c r="D10" s="10"/>
      <c r="E10" s="10"/>
      <c r="F10" s="31" t="s">
        <v>0</v>
      </c>
      <c r="G10" s="34" t="s">
        <v>76</v>
      </c>
      <c r="H10" s="31" t="s">
        <v>0</v>
      </c>
      <c r="I10" s="38" t="s">
        <v>0</v>
      </c>
      <c r="J10" s="10"/>
      <c r="K10" s="10"/>
      <c r="L10" s="10"/>
    </row>
    <row r="11" spans="1:12" ht="18" customHeight="1">
      <c r="A11" s="38"/>
      <c r="B11" s="38"/>
      <c r="C11" s="38"/>
      <c r="D11" s="10"/>
      <c r="E11" s="10"/>
      <c r="J11" s="10"/>
      <c r="K11" s="10"/>
      <c r="L11" s="10"/>
    </row>
    <row r="12" spans="1:12" ht="18" customHeight="1">
      <c r="A12" s="38"/>
      <c r="B12" s="38"/>
      <c r="C12" s="38"/>
      <c r="D12" s="10" t="s">
        <v>0</v>
      </c>
      <c r="E12" s="10" t="s">
        <v>0</v>
      </c>
      <c r="J12" s="10"/>
      <c r="K12" s="10"/>
      <c r="L12" s="10" t="s">
        <v>0</v>
      </c>
    </row>
    <row r="13" spans="1:12" ht="15.75" thickBot="1">
      <c r="A13" s="31"/>
      <c r="B13" s="31"/>
      <c r="C13" s="31"/>
      <c r="D13" s="31"/>
      <c r="E13" s="34"/>
      <c r="F13" s="31"/>
      <c r="G13" s="31"/>
      <c r="H13" s="31"/>
      <c r="I13" s="31"/>
      <c r="J13" s="26"/>
      <c r="K13" s="26"/>
      <c r="L13" s="26"/>
    </row>
    <row r="14" spans="1:12" ht="15" customHeight="1" thickBot="1">
      <c r="A14" s="31" t="s">
        <v>24</v>
      </c>
      <c r="B14" s="31" t="s">
        <v>91</v>
      </c>
      <c r="C14" s="31" t="s">
        <v>92</v>
      </c>
      <c r="D14" s="39" t="s">
        <v>93</v>
      </c>
      <c r="E14" s="31" t="s">
        <v>94</v>
      </c>
      <c r="F14" s="31" t="s">
        <v>95</v>
      </c>
      <c r="G14" s="31" t="s">
        <v>96</v>
      </c>
      <c r="H14" s="31" t="s">
        <v>97</v>
      </c>
      <c r="I14" s="31" t="s">
        <v>98</v>
      </c>
      <c r="J14" s="31" t="s">
        <v>99</v>
      </c>
      <c r="K14" s="31" t="s">
        <v>100</v>
      </c>
      <c r="L14" s="31" t="s">
        <v>108</v>
      </c>
    </row>
    <row r="15" spans="1:12">
      <c r="A15" s="32" t="s">
        <v>0</v>
      </c>
      <c r="B15" s="32" t="s">
        <v>3</v>
      </c>
      <c r="C15" s="32" t="s">
        <v>80</v>
      </c>
      <c r="D15" s="32" t="s">
        <v>83</v>
      </c>
      <c r="E15" s="32" t="s">
        <v>83</v>
      </c>
      <c r="F15" s="32" t="s">
        <v>84</v>
      </c>
      <c r="G15" s="32" t="s">
        <v>87</v>
      </c>
      <c r="H15" s="32" t="s">
        <v>89</v>
      </c>
      <c r="I15" s="32" t="s">
        <v>111</v>
      </c>
      <c r="J15" s="32" t="s">
        <v>111</v>
      </c>
      <c r="K15" s="32" t="s">
        <v>104</v>
      </c>
      <c r="L15" s="32" t="s">
        <v>106</v>
      </c>
    </row>
    <row r="16" spans="1:12" ht="15.75" thickBot="1">
      <c r="A16" s="34" t="s">
        <v>2</v>
      </c>
      <c r="B16" s="34" t="s">
        <v>4</v>
      </c>
      <c r="C16" s="34" t="s">
        <v>81</v>
      </c>
      <c r="D16" s="34" t="s">
        <v>86</v>
      </c>
      <c r="E16" s="34" t="s">
        <v>85</v>
      </c>
      <c r="F16" s="34" t="s">
        <v>19</v>
      </c>
      <c r="G16" s="34" t="s">
        <v>88</v>
      </c>
      <c r="H16" s="34" t="s">
        <v>90</v>
      </c>
      <c r="I16" s="34" t="s">
        <v>0</v>
      </c>
      <c r="J16" s="34" t="s">
        <v>0</v>
      </c>
      <c r="K16" s="34" t="s">
        <v>105</v>
      </c>
      <c r="L16" s="34" t="s">
        <v>87</v>
      </c>
    </row>
    <row r="17" spans="1:12">
      <c r="A17" s="40" t="s">
        <v>7</v>
      </c>
      <c r="B17" s="40" t="s">
        <v>7</v>
      </c>
      <c r="C17" s="40" t="s">
        <v>82</v>
      </c>
      <c r="D17" s="40" t="s">
        <v>251</v>
      </c>
      <c r="E17" s="40" t="s">
        <v>251</v>
      </c>
      <c r="F17" s="40" t="s">
        <v>109</v>
      </c>
      <c r="G17" s="40" t="s">
        <v>250</v>
      </c>
      <c r="H17" s="40" t="s">
        <v>101</v>
      </c>
      <c r="I17" s="40" t="s">
        <v>102</v>
      </c>
      <c r="J17" s="40" t="s">
        <v>103</v>
      </c>
      <c r="K17" s="40" t="s">
        <v>110</v>
      </c>
      <c r="L17" s="40" t="s">
        <v>107</v>
      </c>
    </row>
    <row r="18" spans="1:12">
      <c r="A18" s="32"/>
      <c r="B18" s="32"/>
      <c r="C18" s="32"/>
      <c r="D18" s="32"/>
      <c r="E18" s="32"/>
      <c r="F18" s="32"/>
      <c r="G18" s="32"/>
      <c r="H18" s="32"/>
      <c r="I18" s="32"/>
      <c r="J18" s="32"/>
      <c r="K18" s="32"/>
      <c r="L18" s="32"/>
    </row>
    <row r="19" spans="1:12">
      <c r="A19" s="10"/>
      <c r="B19" s="10"/>
      <c r="C19" s="10"/>
      <c r="D19" s="10"/>
      <c r="E19" s="10"/>
      <c r="F19" s="10"/>
      <c r="G19" s="10"/>
      <c r="H19" s="10"/>
      <c r="I19" s="10"/>
      <c r="J19" s="10"/>
      <c r="K19" s="10"/>
      <c r="L19" s="10"/>
    </row>
    <row r="20" spans="1:12" ht="22.5" customHeight="1">
      <c r="A20" s="60" t="str">
        <f>+'S&amp;D'!A22</f>
        <v>Air Transport Services Group</v>
      </c>
      <c r="B20" s="86" t="str">
        <f>+'S&amp;D'!B22</f>
        <v>ATSG</v>
      </c>
      <c r="C20" s="63">
        <f>+'Growth &amp; Inflation Rates'!D93</f>
        <v>2.366E-2</v>
      </c>
      <c r="D20" s="301">
        <v>4062042000</v>
      </c>
      <c r="E20" s="137">
        <v>3611440000</v>
      </c>
      <c r="F20" s="137">
        <f>(D20+E20)/2</f>
        <v>3836741000</v>
      </c>
      <c r="G20" s="137">
        <v>331064000</v>
      </c>
      <c r="H20" s="16">
        <f>+F20/G20</f>
        <v>11.589121740811445</v>
      </c>
      <c r="I20" s="42">
        <f>+C20*H20</f>
        <v>0.27419862038759879</v>
      </c>
      <c r="J20" s="43">
        <f>1/(1+C20)^H20</f>
        <v>0.76261258823591715</v>
      </c>
      <c r="K20" s="138">
        <f>(G20*I20)/(1-J20)</f>
        <v>382401456.69651204</v>
      </c>
      <c r="L20" s="139">
        <f>+K20/G20</f>
        <v>1.1550680735341567</v>
      </c>
    </row>
    <row r="21" spans="1:12" ht="22.5" customHeight="1">
      <c r="A21" s="60" t="str">
        <f>+'S&amp;D'!A23</f>
        <v>Atlas Air</v>
      </c>
      <c r="B21" s="86" t="str">
        <f>+'S&amp;D'!B23</f>
        <v>AAWW</v>
      </c>
      <c r="C21" s="63">
        <f>+'Growth &amp; Inflation Rates'!D93</f>
        <v>2.366E-2</v>
      </c>
      <c r="D21" s="301">
        <f>6286103000+106246000</f>
        <v>6392349000</v>
      </c>
      <c r="E21" s="137">
        <f>5449100000+101824000</f>
        <v>5550924000</v>
      </c>
      <c r="F21" s="137">
        <f t="shared" ref="F21:F23" si="0">(D21+E21)/2</f>
        <v>5971636500</v>
      </c>
      <c r="G21" s="137">
        <v>303220000</v>
      </c>
      <c r="H21" s="16">
        <f t="shared" ref="H21:H23" si="1">+F21/G21</f>
        <v>19.694071960952442</v>
      </c>
      <c r="I21" s="42">
        <f t="shared" ref="I21:I23" si="2">+C21*H21</f>
        <v>0.46596174259613476</v>
      </c>
      <c r="J21" s="43">
        <f t="shared" ref="J21:J23" si="3">1/(1+C21)^H21</f>
        <v>0.63094609454081962</v>
      </c>
      <c r="K21" s="138">
        <f t="shared" ref="K21:K23" si="4">(G21*I21)/(1-J21)</f>
        <v>382840873.65017033</v>
      </c>
      <c r="L21" s="139">
        <f t="shared" ref="L21:L23" si="5">+K21/G21</f>
        <v>1.262584505145341</v>
      </c>
    </row>
    <row r="22" spans="1:12" ht="22.5" customHeight="1">
      <c r="A22" s="60" t="str">
        <f>+'S&amp;D'!A24</f>
        <v xml:space="preserve">FedEx Corp </v>
      </c>
      <c r="B22" s="86" t="str">
        <f>+'S&amp;D'!B24</f>
        <v>FDX</v>
      </c>
      <c r="C22" s="63">
        <f>+'Growth &amp; Inflation Rates'!D93</f>
        <v>2.366E-2</v>
      </c>
      <c r="D22" s="301">
        <v>78532000000</v>
      </c>
      <c r="E22" s="370">
        <v>75275000000</v>
      </c>
      <c r="F22" s="370">
        <f t="shared" si="0"/>
        <v>76903500000</v>
      </c>
      <c r="G22" s="425">
        <f>986000000+1018000000+1024000000+1046000000</f>
        <v>4074000000</v>
      </c>
      <c r="H22" s="16">
        <f t="shared" si="1"/>
        <v>18.876656848306332</v>
      </c>
      <c r="I22" s="42">
        <f t="shared" si="2"/>
        <v>0.44662170103092785</v>
      </c>
      <c r="J22" s="43">
        <f t="shared" si="3"/>
        <v>0.64312250373492519</v>
      </c>
      <c r="K22" s="138">
        <f t="shared" si="4"/>
        <v>5098491300.3551178</v>
      </c>
      <c r="L22" s="139">
        <f t="shared" si="5"/>
        <v>1.251470618643868</v>
      </c>
    </row>
    <row r="23" spans="1:12" ht="22.5" customHeight="1">
      <c r="A23" s="60" t="str">
        <f>+'S&amp;D'!A25</f>
        <v xml:space="preserve">United Parcel Service </v>
      </c>
      <c r="B23" s="86" t="str">
        <f>+'S&amp;D'!B25</f>
        <v>UPS</v>
      </c>
      <c r="C23" s="63">
        <f>+'Growth &amp; Inflation Rates'!D93</f>
        <v>2.366E-2</v>
      </c>
      <c r="D23" s="301">
        <v>67430000000</v>
      </c>
      <c r="E23" s="137">
        <v>64809000000</v>
      </c>
      <c r="F23" s="137">
        <f t="shared" si="0"/>
        <v>66119500000</v>
      </c>
      <c r="G23" s="137">
        <v>3188000000</v>
      </c>
      <c r="H23" s="16">
        <f t="shared" si="1"/>
        <v>20.740119196988708</v>
      </c>
      <c r="I23" s="42">
        <f t="shared" si="2"/>
        <v>0.49071122020075286</v>
      </c>
      <c r="J23" s="43">
        <f t="shared" si="3"/>
        <v>0.61569961166777043</v>
      </c>
      <c r="K23" s="138">
        <f t="shared" si="4"/>
        <v>4070741059.5889893</v>
      </c>
      <c r="L23" s="139">
        <f t="shared" si="5"/>
        <v>1.2768949371358185</v>
      </c>
    </row>
    <row r="24" spans="1:12" ht="22.5" customHeight="1">
      <c r="A24" s="60" t="s">
        <v>0</v>
      </c>
      <c r="B24" s="86" t="s">
        <v>0</v>
      </c>
      <c r="C24" s="63" t="s">
        <v>0</v>
      </c>
      <c r="D24" s="301" t="s">
        <v>0</v>
      </c>
      <c r="E24" s="137" t="s">
        <v>0</v>
      </c>
      <c r="F24" s="137" t="s">
        <v>0</v>
      </c>
      <c r="G24" s="137" t="s">
        <v>0</v>
      </c>
      <c r="H24" s="16" t="s">
        <v>0</v>
      </c>
      <c r="I24" s="42" t="s">
        <v>0</v>
      </c>
      <c r="J24" s="43" t="s">
        <v>0</v>
      </c>
      <c r="K24" s="138" t="s">
        <v>0</v>
      </c>
      <c r="L24" s="139" t="s">
        <v>0</v>
      </c>
    </row>
    <row r="25" spans="1:12" ht="22.5" customHeight="1" thickBot="1">
      <c r="A25" s="67"/>
      <c r="B25" s="67"/>
      <c r="C25" s="44"/>
      <c r="D25" s="44"/>
      <c r="E25" s="44"/>
      <c r="F25" s="44"/>
      <c r="G25" s="44" t="s">
        <v>0</v>
      </c>
      <c r="H25" s="44"/>
      <c r="I25" s="44" t="s">
        <v>44</v>
      </c>
      <c r="J25" s="44"/>
      <c r="K25" s="44"/>
      <c r="L25" s="44"/>
    </row>
    <row r="26" spans="1:12" ht="22.5" customHeight="1" thickTop="1">
      <c r="A26" s="10"/>
      <c r="B26" s="10"/>
      <c r="C26" s="45" t="s">
        <v>0</v>
      </c>
      <c r="D26" s="45" t="s">
        <v>0</v>
      </c>
      <c r="E26" s="32" t="s">
        <v>0</v>
      </c>
      <c r="F26" s="32"/>
      <c r="G26" s="45" t="s">
        <v>0</v>
      </c>
      <c r="H26" s="32"/>
      <c r="I26" s="45" t="s">
        <v>0</v>
      </c>
      <c r="J26" s="45" t="s">
        <v>0</v>
      </c>
      <c r="K26" s="12" t="s">
        <v>45</v>
      </c>
      <c r="L26" s="50">
        <v>1.2625999999999999</v>
      </c>
    </row>
    <row r="27" spans="1:12" ht="22.5" customHeight="1">
      <c r="B27" s="10"/>
      <c r="C27" s="45"/>
      <c r="D27" s="372" t="s">
        <v>0</v>
      </c>
      <c r="E27" s="373" t="s">
        <v>0</v>
      </c>
      <c r="F27" s="373"/>
      <c r="G27" s="372" t="s">
        <v>0</v>
      </c>
      <c r="H27" s="32"/>
      <c r="I27" s="45"/>
      <c r="J27" s="45"/>
      <c r="K27" s="323" t="s">
        <v>46</v>
      </c>
      <c r="L27" s="324">
        <v>1.012</v>
      </c>
    </row>
    <row r="28" spans="1:12" ht="22.5" customHeight="1">
      <c r="B28" s="10"/>
      <c r="C28" s="10"/>
      <c r="D28" s="10"/>
      <c r="E28" s="10"/>
      <c r="F28" s="10"/>
      <c r="G28" s="10" t="s">
        <v>0</v>
      </c>
      <c r="H28" s="10"/>
      <c r="I28" s="10"/>
      <c r="J28" s="10"/>
      <c r="K28" s="12" t="s">
        <v>18</v>
      </c>
      <c r="L28" s="52">
        <f>MEDIAN(L20:L24)</f>
        <v>1.2570275618946045</v>
      </c>
    </row>
    <row r="29" spans="1:12" ht="22.5" customHeight="1">
      <c r="A29" s="10" t="s">
        <v>0</v>
      </c>
      <c r="B29" s="10"/>
      <c r="C29" s="10"/>
      <c r="D29" s="10"/>
      <c r="E29" s="10"/>
      <c r="F29" s="10"/>
      <c r="G29" s="10"/>
      <c r="H29" s="10"/>
      <c r="I29" s="10"/>
      <c r="J29" s="10"/>
      <c r="K29" s="12" t="s">
        <v>443</v>
      </c>
      <c r="L29" s="52">
        <f>AVERAGE(L20:L24)</f>
        <v>1.236504533614796</v>
      </c>
    </row>
    <row r="30" spans="1:12" ht="22.5" customHeight="1" thickBot="1">
      <c r="A30" s="10"/>
      <c r="B30" s="10"/>
      <c r="C30" s="10"/>
      <c r="D30" s="10"/>
      <c r="E30" s="10"/>
      <c r="F30" s="10"/>
      <c r="G30" s="10" t="s">
        <v>0</v>
      </c>
      <c r="H30" s="10"/>
      <c r="I30" s="10"/>
      <c r="J30" s="10"/>
      <c r="K30" s="10"/>
      <c r="L30" s="10"/>
    </row>
    <row r="31" spans="1:12" ht="22.5" customHeight="1" thickBot="1">
      <c r="A31" s="10"/>
      <c r="B31" s="10"/>
      <c r="C31" s="10"/>
      <c r="D31" s="10"/>
      <c r="E31" s="10"/>
      <c r="F31" s="10"/>
      <c r="G31" s="10"/>
      <c r="H31" s="10"/>
      <c r="I31" s="10"/>
      <c r="J31" s="10"/>
      <c r="K31" s="206" t="s">
        <v>214</v>
      </c>
      <c r="L31" s="451">
        <v>1.2364999999999999</v>
      </c>
    </row>
    <row r="32" spans="1:12">
      <c r="A32" s="10"/>
      <c r="B32" s="10"/>
      <c r="C32" s="10"/>
      <c r="D32" s="10"/>
      <c r="E32" s="10"/>
      <c r="F32" s="10"/>
      <c r="G32" s="10"/>
      <c r="H32" s="10"/>
      <c r="I32" s="10"/>
      <c r="J32" s="10"/>
      <c r="K32" s="10"/>
      <c r="L32" s="10"/>
    </row>
    <row r="33" spans="1:12">
      <c r="A33" s="10"/>
      <c r="B33" s="10"/>
      <c r="C33" s="10"/>
      <c r="D33" s="10"/>
      <c r="E33" s="10"/>
      <c r="F33" s="10"/>
      <c r="G33" s="10"/>
      <c r="H33" s="10"/>
      <c r="I33" s="10"/>
      <c r="J33" s="10"/>
      <c r="K33" s="10"/>
      <c r="L33" s="10"/>
    </row>
    <row r="34" spans="1:12">
      <c r="A34" s="10" t="s">
        <v>72</v>
      </c>
      <c r="B34" s="10"/>
      <c r="C34" s="10"/>
      <c r="D34" s="10"/>
      <c r="E34" s="10"/>
      <c r="F34" s="10"/>
      <c r="G34" s="10"/>
      <c r="H34" s="10"/>
      <c r="I34" s="10"/>
      <c r="J34" s="10"/>
      <c r="K34" s="10"/>
      <c r="L34" s="10"/>
    </row>
    <row r="35" spans="1:12">
      <c r="A35" s="10" t="s">
        <v>275</v>
      </c>
    </row>
    <row r="36" spans="1:12">
      <c r="A36" s="10"/>
    </row>
    <row r="37" spans="1:12">
      <c r="A37" s="10" t="s">
        <v>388</v>
      </c>
    </row>
    <row r="38" spans="1:12" ht="18">
      <c r="A38" s="238"/>
      <c r="B38" s="238"/>
      <c r="C38" s="238"/>
      <c r="D38" s="238"/>
      <c r="E38" s="238"/>
      <c r="F38" s="238"/>
      <c r="G38" s="238"/>
      <c r="H38" s="238"/>
      <c r="I38" s="238"/>
      <c r="J38" s="238"/>
      <c r="K38" s="238"/>
      <c r="L38" s="238"/>
    </row>
    <row r="39" spans="1:12" ht="20.25">
      <c r="A39" s="21" t="s">
        <v>1</v>
      </c>
      <c r="B39" s="10"/>
      <c r="C39" s="10"/>
      <c r="D39" s="10"/>
      <c r="E39" s="10"/>
      <c r="F39" s="10"/>
      <c r="G39" s="10"/>
      <c r="H39" s="10"/>
      <c r="I39" s="10"/>
      <c r="J39" s="10"/>
      <c r="K39" s="238"/>
      <c r="L39" s="238"/>
    </row>
    <row r="40" spans="1:12" ht="18">
      <c r="A40" s="22" t="s">
        <v>9</v>
      </c>
      <c r="B40" s="10"/>
      <c r="C40" s="10"/>
      <c r="D40" s="10"/>
      <c r="E40" s="10"/>
      <c r="F40" s="10"/>
      <c r="G40" s="10"/>
      <c r="H40" s="10"/>
      <c r="I40" s="10"/>
      <c r="J40" s="10"/>
      <c r="K40" s="238"/>
      <c r="L40" s="238"/>
    </row>
    <row r="41" spans="1:12" ht="18">
      <c r="A41" s="23" t="s">
        <v>62</v>
      </c>
      <c r="B41" s="10"/>
      <c r="C41" s="10"/>
      <c r="D41" s="10"/>
      <c r="E41" s="10"/>
      <c r="F41" s="10"/>
      <c r="G41" s="10"/>
      <c r="H41" s="10"/>
      <c r="I41" s="10"/>
      <c r="J41" s="10"/>
      <c r="K41" s="238"/>
      <c r="L41" s="238"/>
    </row>
    <row r="42" spans="1:12" ht="18">
      <c r="A42" s="23"/>
      <c r="B42" s="10"/>
      <c r="C42" s="10"/>
      <c r="D42" s="10"/>
      <c r="E42" s="10"/>
      <c r="F42" s="10"/>
      <c r="G42" s="10"/>
      <c r="H42" s="10"/>
      <c r="I42" s="10"/>
      <c r="J42" s="10"/>
      <c r="K42" s="238"/>
      <c r="L42" s="238"/>
    </row>
    <row r="43" spans="1:12" ht="18">
      <c r="A43" s="23"/>
      <c r="B43" s="10"/>
      <c r="C43" s="10"/>
      <c r="D43" s="10"/>
      <c r="E43" s="10"/>
      <c r="F43" s="10"/>
      <c r="G43" s="10"/>
      <c r="H43" s="10"/>
      <c r="I43" s="10"/>
      <c r="J43" s="10"/>
      <c r="K43" s="238"/>
      <c r="L43" s="238"/>
    </row>
    <row r="44" spans="1:12" ht="18">
      <c r="A44" s="23"/>
      <c r="B44" s="10"/>
      <c r="C44" s="10"/>
      <c r="D44" s="10"/>
      <c r="E44" s="10"/>
      <c r="F44" s="10"/>
      <c r="G44" s="10"/>
      <c r="H44" s="10"/>
      <c r="I44" s="10"/>
      <c r="J44" s="10"/>
      <c r="K44" s="238"/>
      <c r="L44" s="238"/>
    </row>
    <row r="45" spans="1:12" ht="18.75" thickBot="1">
      <c r="B45" s="10"/>
      <c r="C45" s="10"/>
      <c r="D45" s="10"/>
      <c r="E45" s="10"/>
      <c r="F45" s="26"/>
      <c r="G45" s="26"/>
      <c r="H45" s="27" t="s">
        <v>0</v>
      </c>
      <c r="I45" s="10"/>
      <c r="J45" s="10"/>
      <c r="K45" s="238"/>
      <c r="L45" s="238"/>
    </row>
    <row r="46" spans="1:12" ht="20.25">
      <c r="B46" s="10"/>
      <c r="C46" s="10"/>
      <c r="D46" s="10"/>
      <c r="E46" s="10"/>
      <c r="F46" s="10"/>
      <c r="G46" s="29" t="s">
        <v>301</v>
      </c>
      <c r="H46" s="10"/>
      <c r="I46" s="10"/>
      <c r="J46" s="10"/>
      <c r="K46" s="238"/>
      <c r="L46" s="238"/>
    </row>
    <row r="47" spans="1:12" ht="18.75" thickBot="1">
      <c r="B47" s="38" t="s">
        <v>0</v>
      </c>
      <c r="C47" s="38" t="s">
        <v>0</v>
      </c>
      <c r="D47" s="10"/>
      <c r="E47" s="10"/>
      <c r="F47" s="31" t="s">
        <v>0</v>
      </c>
      <c r="G47" s="34" t="s">
        <v>76</v>
      </c>
      <c r="H47" s="31" t="s">
        <v>0</v>
      </c>
      <c r="I47" s="38" t="s">
        <v>0</v>
      </c>
      <c r="J47" s="10"/>
      <c r="K47" s="238"/>
      <c r="L47" s="238"/>
    </row>
    <row r="48" spans="1:12" ht="18">
      <c r="A48" s="238"/>
      <c r="B48" s="238"/>
      <c r="C48" s="238"/>
      <c r="D48" s="238"/>
      <c r="E48" s="238"/>
      <c r="F48" s="238"/>
      <c r="G48" s="238"/>
      <c r="H48" s="238"/>
      <c r="I48" s="238"/>
      <c r="J48" s="238"/>
      <c r="K48" s="238"/>
      <c r="L48" s="238"/>
    </row>
    <row r="49" spans="1:12" ht="18">
      <c r="A49" s="238"/>
      <c r="B49" s="238"/>
      <c r="C49" s="238"/>
      <c r="D49" s="238"/>
      <c r="E49" s="238"/>
      <c r="F49" s="238"/>
      <c r="G49" s="238"/>
      <c r="H49" s="238"/>
      <c r="I49" s="238"/>
      <c r="J49" s="238"/>
      <c r="K49" s="238"/>
      <c r="L49" s="238"/>
    </row>
    <row r="50" spans="1:12" ht="18">
      <c r="A50" s="238"/>
      <c r="B50" s="238"/>
      <c r="C50" s="238"/>
      <c r="D50" s="238"/>
      <c r="E50" s="238"/>
      <c r="F50" s="238"/>
      <c r="G50" s="238"/>
      <c r="H50" s="238"/>
      <c r="I50" s="238"/>
      <c r="J50" s="238"/>
      <c r="K50" s="238"/>
      <c r="L50" s="238"/>
    </row>
    <row r="51" spans="1:12">
      <c r="A51" s="38"/>
      <c r="B51" s="38"/>
      <c r="C51" s="38"/>
      <c r="D51" s="10"/>
      <c r="E51" s="10"/>
      <c r="J51" s="10"/>
      <c r="K51" s="10"/>
      <c r="L51" s="10"/>
    </row>
    <row r="52" spans="1:12" ht="25.5">
      <c r="A52" s="232" t="s">
        <v>290</v>
      </c>
      <c r="B52" s="38"/>
      <c r="C52" s="234" t="s">
        <v>295</v>
      </c>
      <c r="D52" s="10"/>
      <c r="E52" s="10"/>
      <c r="J52" s="10"/>
      <c r="K52" s="10"/>
      <c r="L52" s="10"/>
    </row>
    <row r="53" spans="1:12" ht="25.5">
      <c r="A53" s="232" t="s">
        <v>294</v>
      </c>
      <c r="B53" s="38"/>
      <c r="C53" s="234" t="s">
        <v>300</v>
      </c>
      <c r="D53" s="10"/>
      <c r="E53" s="10"/>
      <c r="J53" s="10"/>
      <c r="K53" s="10"/>
      <c r="L53" s="10"/>
    </row>
    <row r="54" spans="1:12" ht="15.75">
      <c r="A54" s="233" t="s">
        <v>291</v>
      </c>
      <c r="B54" s="38"/>
      <c r="C54" s="38"/>
      <c r="D54" s="10"/>
      <c r="E54" s="10"/>
      <c r="J54" s="10"/>
      <c r="K54" s="10"/>
      <c r="L54" s="10"/>
    </row>
    <row r="55" spans="1:12" ht="15.75">
      <c r="A55" s="233" t="s">
        <v>292</v>
      </c>
      <c r="B55" s="38"/>
      <c r="C55" s="38"/>
      <c r="D55" s="10"/>
      <c r="E55" s="10"/>
      <c r="J55" s="10"/>
      <c r="K55" s="10"/>
      <c r="L55" s="10"/>
    </row>
    <row r="56" spans="1:12" ht="15.75">
      <c r="A56" s="233" t="s">
        <v>293</v>
      </c>
      <c r="B56" s="38"/>
      <c r="C56" s="38"/>
      <c r="D56" s="10"/>
      <c r="E56" s="10"/>
      <c r="J56" s="10"/>
      <c r="K56" s="10"/>
      <c r="L56" s="10"/>
    </row>
    <row r="62" spans="1:12" ht="25.5">
      <c r="A62" s="235" t="s">
        <v>299</v>
      </c>
      <c r="B62" s="102"/>
      <c r="C62" s="102"/>
      <c r="D62" s="102"/>
      <c r="E62" s="102"/>
      <c r="F62" s="102"/>
      <c r="G62" s="10"/>
      <c r="H62" s="10"/>
      <c r="I62" s="10"/>
    </row>
    <row r="63" spans="1:12" ht="15.75">
      <c r="A63" s="102"/>
      <c r="B63" s="102"/>
      <c r="C63" s="102"/>
      <c r="D63" s="102"/>
      <c r="E63" s="102"/>
      <c r="F63" s="102"/>
      <c r="G63" s="10"/>
      <c r="H63" s="10"/>
      <c r="I63" s="10"/>
    </row>
    <row r="64" spans="1:12" ht="16.5" thickBot="1">
      <c r="A64" s="236" t="s">
        <v>296</v>
      </c>
      <c r="B64" s="104"/>
      <c r="C64" s="104"/>
      <c r="D64" s="237" t="s">
        <v>298</v>
      </c>
      <c r="E64" s="104"/>
      <c r="F64" s="102"/>
      <c r="G64" s="10"/>
      <c r="H64" s="10"/>
      <c r="I64" s="10"/>
    </row>
    <row r="65" spans="1:9" ht="15.75">
      <c r="A65" s="102"/>
      <c r="B65" s="102"/>
      <c r="C65" s="102"/>
      <c r="D65" s="102" t="s">
        <v>297</v>
      </c>
      <c r="E65" s="102"/>
      <c r="F65" s="102"/>
      <c r="G65" s="10"/>
      <c r="H65" s="10"/>
      <c r="I65" s="10"/>
    </row>
    <row r="66" spans="1:9" ht="15.75">
      <c r="A66" s="102"/>
      <c r="B66" s="102"/>
      <c r="C66" s="102"/>
      <c r="D66" s="102"/>
      <c r="E66" s="102"/>
      <c r="F66" s="102"/>
      <c r="G66" s="10"/>
      <c r="H66" s="10"/>
      <c r="I66" s="10"/>
    </row>
    <row r="67" spans="1:9">
      <c r="A67" s="10"/>
      <c r="B67" s="10"/>
      <c r="C67" s="10"/>
      <c r="D67" s="10"/>
      <c r="E67" s="10"/>
      <c r="F67" s="10"/>
      <c r="G67" s="10"/>
      <c r="H67" s="10"/>
      <c r="I67" s="10"/>
    </row>
    <row r="68" spans="1:9">
      <c r="A68" s="10"/>
      <c r="B68" s="10"/>
      <c r="C68" s="10"/>
      <c r="D68" s="10"/>
      <c r="E68" s="10"/>
      <c r="F68" s="10"/>
      <c r="G68" s="10"/>
      <c r="H68" s="10"/>
      <c r="I68" s="10"/>
    </row>
    <row r="69" spans="1:9">
      <c r="A69" s="10"/>
      <c r="B69" s="10"/>
      <c r="C69" s="10"/>
      <c r="D69" s="10"/>
      <c r="E69" s="10"/>
      <c r="F69" s="10"/>
      <c r="G69" s="10"/>
      <c r="H69" s="10"/>
      <c r="I69" s="10"/>
    </row>
    <row r="70" spans="1:9">
      <c r="A70" s="10"/>
      <c r="B70" s="10"/>
      <c r="C70" s="10"/>
      <c r="D70" s="10"/>
      <c r="E70" s="10"/>
      <c r="F70" s="10"/>
      <c r="G70" s="10"/>
      <c r="H70" s="10"/>
      <c r="I70" s="10"/>
    </row>
    <row r="71" spans="1:9">
      <c r="A71" s="10"/>
      <c r="B71" s="10"/>
      <c r="C71" s="10"/>
      <c r="D71" s="10"/>
      <c r="E71" s="10"/>
      <c r="F71" s="10"/>
      <c r="G71" s="10"/>
      <c r="H71" s="10"/>
      <c r="I71" s="10"/>
    </row>
    <row r="72" spans="1:9">
      <c r="A72" s="10" t="s">
        <v>0</v>
      </c>
      <c r="B72" s="10"/>
      <c r="C72" s="10"/>
      <c r="D72" s="10"/>
      <c r="E72" s="10"/>
      <c r="F72" s="10"/>
      <c r="G72" s="10"/>
      <c r="H72" s="10"/>
      <c r="I72" s="10"/>
    </row>
    <row r="73" spans="1:9">
      <c r="A73" s="10"/>
      <c r="B73" s="10"/>
      <c r="C73" s="10"/>
      <c r="D73" s="10"/>
      <c r="E73" s="10"/>
      <c r="F73" s="10"/>
      <c r="G73" s="10"/>
      <c r="H73" s="10"/>
      <c r="I73" s="10"/>
    </row>
  </sheetData>
  <pageMargins left="0.25" right="0.25" top="0.75" bottom="0.75" header="0.3" footer="0.3"/>
  <pageSetup scale="51" orientation="landscape" r:id="rId1"/>
  <rowBreaks count="1" manualBreakCount="1">
    <brk id="37" max="1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I32"/>
  <sheetViews>
    <sheetView view="pageBreakPreview" zoomScale="60" zoomScaleNormal="80" workbookViewId="0">
      <selection activeCell="I28" sqref="I28"/>
    </sheetView>
  </sheetViews>
  <sheetFormatPr defaultRowHeight="15"/>
  <cols>
    <col min="1" max="1" width="45.140625" customWidth="1"/>
    <col min="2" max="2" width="17" customWidth="1"/>
    <col min="3" max="3" width="22.7109375" customWidth="1"/>
    <col min="4" max="4" width="20.140625" customWidth="1"/>
    <col min="5" max="5" width="24.5703125" customWidth="1"/>
    <col min="6" max="6" width="23.5703125" customWidth="1"/>
    <col min="7" max="7" width="21.28515625" customWidth="1"/>
    <col min="8" max="8" width="19.7109375" customWidth="1"/>
    <col min="9" max="9" width="28.28515625" customWidth="1"/>
    <col min="10" max="10" width="14.140625" bestFit="1" customWidth="1"/>
    <col min="12" max="12" width="10.5703125" customWidth="1"/>
  </cols>
  <sheetData>
    <row r="1" spans="1:9" ht="20.25">
      <c r="A1" s="21" t="s">
        <v>1</v>
      </c>
      <c r="B1" s="10"/>
      <c r="C1" s="10"/>
      <c r="D1" s="10"/>
      <c r="E1" s="10"/>
      <c r="F1" s="10"/>
      <c r="G1" s="10"/>
      <c r="H1" s="10"/>
      <c r="I1" s="10"/>
    </row>
    <row r="2" spans="1:9" ht="15.75">
      <c r="A2" s="22" t="s">
        <v>9</v>
      </c>
      <c r="B2" s="10"/>
      <c r="C2" s="10"/>
      <c r="D2" s="10"/>
      <c r="E2" s="10"/>
      <c r="F2" s="10"/>
      <c r="G2" s="10"/>
      <c r="H2" s="10"/>
      <c r="I2" s="10"/>
    </row>
    <row r="3" spans="1:9">
      <c r="A3" s="23" t="s">
        <v>62</v>
      </c>
      <c r="B3" s="10"/>
      <c r="C3" s="10"/>
      <c r="D3" s="10"/>
      <c r="E3" s="10"/>
      <c r="F3" s="10"/>
      <c r="G3" s="10"/>
      <c r="H3" s="10"/>
      <c r="I3" s="10"/>
    </row>
    <row r="4" spans="1:9">
      <c r="A4" s="23"/>
      <c r="B4" s="10"/>
      <c r="C4" s="10"/>
      <c r="D4" s="10"/>
      <c r="E4" s="10"/>
      <c r="F4" s="10"/>
      <c r="G4" s="10"/>
      <c r="H4" s="10"/>
      <c r="I4" s="10"/>
    </row>
    <row r="5" spans="1:9">
      <c r="A5" s="23"/>
      <c r="B5" s="10"/>
      <c r="C5" s="10"/>
      <c r="D5" s="10"/>
      <c r="E5" s="10"/>
      <c r="F5" s="10"/>
      <c r="G5" s="10"/>
      <c r="H5" s="10"/>
      <c r="I5" s="10"/>
    </row>
    <row r="6" spans="1:9">
      <c r="A6" s="23"/>
      <c r="B6" s="10"/>
      <c r="C6" s="10"/>
      <c r="D6" s="10"/>
      <c r="E6" s="10"/>
      <c r="F6" s="10"/>
      <c r="G6" s="10"/>
      <c r="H6" s="10"/>
      <c r="I6" s="10"/>
    </row>
    <row r="7" spans="1:9" ht="15.75" thickBot="1">
      <c r="A7" s="10"/>
      <c r="B7" s="10"/>
      <c r="C7" s="10"/>
      <c r="H7" s="24"/>
      <c r="I7" s="10"/>
    </row>
    <row r="8" spans="1:9" ht="18.75" thickBot="1">
      <c r="A8" s="266" t="str">
        <f>+'S&amp;D'!A12</f>
        <v>Air Freight Carriers</v>
      </c>
      <c r="B8" s="200"/>
      <c r="C8" s="10"/>
      <c r="D8" s="26"/>
      <c r="E8" s="26"/>
      <c r="F8" s="26"/>
      <c r="H8" s="10"/>
      <c r="I8" s="10"/>
    </row>
    <row r="9" spans="1:9" ht="20.25">
      <c r="A9" s="28"/>
      <c r="B9" s="10"/>
      <c r="C9" s="10"/>
      <c r="D9" s="10"/>
      <c r="E9" s="29" t="s">
        <v>125</v>
      </c>
      <c r="F9" s="29"/>
      <c r="H9" s="10"/>
      <c r="I9" s="10"/>
    </row>
    <row r="10" spans="1:9" ht="18.75" thickBot="1">
      <c r="A10" s="28"/>
      <c r="B10" s="10"/>
      <c r="C10" s="10"/>
      <c r="D10" s="26"/>
      <c r="E10" s="34" t="s">
        <v>76</v>
      </c>
      <c r="F10" s="34"/>
      <c r="H10" s="10"/>
      <c r="I10" s="10"/>
    </row>
    <row r="11" spans="1:9" ht="18">
      <c r="A11" s="28"/>
      <c r="B11" s="10"/>
      <c r="I11" s="10"/>
    </row>
    <row r="12" spans="1:9" ht="15.75" thickBot="1">
      <c r="A12" s="31" t="s">
        <v>0</v>
      </c>
      <c r="B12" s="31" t="s">
        <v>0</v>
      </c>
      <c r="C12" s="31" t="s">
        <v>0</v>
      </c>
      <c r="D12" s="31" t="s">
        <v>0</v>
      </c>
      <c r="E12" s="31" t="s">
        <v>0</v>
      </c>
      <c r="F12" s="31"/>
      <c r="G12" s="31"/>
      <c r="H12" s="26"/>
      <c r="I12" s="26"/>
    </row>
    <row r="13" spans="1:9" ht="15.75">
      <c r="A13" s="86" t="s">
        <v>0</v>
      </c>
      <c r="B13" s="86" t="s">
        <v>3</v>
      </c>
      <c r="C13" s="86" t="s">
        <v>5</v>
      </c>
      <c r="D13" s="86" t="s">
        <v>21</v>
      </c>
      <c r="E13" s="186" t="s">
        <v>235</v>
      </c>
      <c r="F13" s="186" t="s">
        <v>348</v>
      </c>
      <c r="G13" s="86" t="s">
        <v>20</v>
      </c>
      <c r="H13" s="86" t="s">
        <v>149</v>
      </c>
      <c r="I13" s="86" t="s">
        <v>149</v>
      </c>
    </row>
    <row r="14" spans="1:9" ht="16.5" thickBot="1">
      <c r="A14" s="93" t="s">
        <v>2</v>
      </c>
      <c r="B14" s="93" t="s">
        <v>4</v>
      </c>
      <c r="C14" s="93" t="s">
        <v>6</v>
      </c>
      <c r="D14" s="93" t="s">
        <v>23</v>
      </c>
      <c r="E14" s="93" t="s">
        <v>349</v>
      </c>
      <c r="F14" s="93" t="s">
        <v>195</v>
      </c>
      <c r="G14" s="93" t="s">
        <v>22</v>
      </c>
      <c r="H14" s="93" t="s">
        <v>173</v>
      </c>
      <c r="I14" s="93" t="s">
        <v>121</v>
      </c>
    </row>
    <row r="15" spans="1:9">
      <c r="A15" s="36" t="s">
        <v>7</v>
      </c>
      <c r="B15" s="36" t="s">
        <v>7</v>
      </c>
      <c r="C15" s="36" t="s">
        <v>7</v>
      </c>
      <c r="D15" s="36" t="s">
        <v>7</v>
      </c>
      <c r="E15" s="229" t="s">
        <v>280</v>
      </c>
      <c r="F15" s="229" t="s">
        <v>280</v>
      </c>
      <c r="G15" s="36" t="s">
        <v>7</v>
      </c>
      <c r="H15" s="36" t="s">
        <v>7</v>
      </c>
      <c r="I15" s="229" t="s">
        <v>280</v>
      </c>
    </row>
    <row r="16" spans="1:9" ht="15.75" thickBot="1">
      <c r="A16" s="32"/>
      <c r="B16" s="32"/>
      <c r="C16" s="32"/>
      <c r="D16" s="32"/>
      <c r="G16" s="32"/>
      <c r="H16" s="32"/>
      <c r="I16" s="32"/>
    </row>
    <row r="17" spans="1:9">
      <c r="A17" s="155"/>
      <c r="B17" s="108"/>
      <c r="C17" s="108"/>
      <c r="D17" s="108"/>
      <c r="E17" s="307"/>
      <c r="F17" s="307"/>
      <c r="G17" s="108"/>
      <c r="H17" s="108"/>
      <c r="I17" s="156"/>
    </row>
    <row r="18" spans="1:9" ht="20.25" customHeight="1">
      <c r="A18" s="98" t="str">
        <f>+'S&amp;D'!A22</f>
        <v>Air Transport Services Group</v>
      </c>
      <c r="B18" s="86" t="str">
        <f>+'S&amp;D'!B22</f>
        <v>ATSG</v>
      </c>
      <c r="C18" s="86" t="str">
        <f>+'S&amp;D'!C22</f>
        <v>Air Trans</v>
      </c>
      <c r="D18" s="367">
        <v>0.23</v>
      </c>
      <c r="E18" s="141">
        <v>0.115</v>
      </c>
      <c r="F18" s="141">
        <v>0.115</v>
      </c>
      <c r="G18" s="86" t="s">
        <v>25</v>
      </c>
      <c r="H18" s="418">
        <v>0.7</v>
      </c>
      <c r="I18" s="418">
        <v>0.8</v>
      </c>
    </row>
    <row r="19" spans="1:9" ht="20.25" customHeight="1">
      <c r="A19" s="98" t="str">
        <f>+'S&amp;D'!A23</f>
        <v>Atlas Air</v>
      </c>
      <c r="B19" s="86" t="str">
        <f>+'S&amp;D'!B23</f>
        <v>AAWW</v>
      </c>
      <c r="C19" s="86" t="str">
        <f>+'S&amp;D'!C23</f>
        <v>Air Trans</v>
      </c>
      <c r="D19" s="142">
        <v>0.22</v>
      </c>
      <c r="E19" s="141">
        <v>0.105</v>
      </c>
      <c r="F19" s="141">
        <v>0.105</v>
      </c>
      <c r="G19" s="86" t="s">
        <v>91</v>
      </c>
      <c r="H19" s="418">
        <v>0.75</v>
      </c>
      <c r="I19" s="418">
        <v>0.75</v>
      </c>
    </row>
    <row r="20" spans="1:9" ht="20.25" customHeight="1">
      <c r="A20" s="98" t="str">
        <f>+'S&amp;D'!A24</f>
        <v xml:space="preserve">FedEx Corp </v>
      </c>
      <c r="B20" s="86" t="str">
        <f>+'S&amp;D'!B24</f>
        <v>FDX</v>
      </c>
      <c r="C20" s="86" t="str">
        <f>+'S&amp;D'!C24</f>
        <v>Air Trans</v>
      </c>
      <c r="D20" s="142">
        <v>0.18</v>
      </c>
      <c r="E20" s="141">
        <v>0.14499999999999999</v>
      </c>
      <c r="F20" s="141">
        <v>9.5000000000000001E-2</v>
      </c>
      <c r="G20" s="86" t="s">
        <v>43</v>
      </c>
      <c r="H20" s="418">
        <v>1.05</v>
      </c>
      <c r="I20" s="418">
        <v>1.1000000000000001</v>
      </c>
    </row>
    <row r="21" spans="1:9" ht="20.25" customHeight="1">
      <c r="A21" s="98" t="str">
        <f>+'S&amp;D'!A25</f>
        <v xml:space="preserve">United Parcel Service </v>
      </c>
      <c r="B21" s="86" t="str">
        <f>+'S&amp;D'!B25</f>
        <v>UPS</v>
      </c>
      <c r="C21" s="86" t="str">
        <f>+'S&amp;D'!C25</f>
        <v>Air Trans</v>
      </c>
      <c r="D21" s="142">
        <v>0.23</v>
      </c>
      <c r="E21" s="141">
        <v>0.44</v>
      </c>
      <c r="F21" s="141">
        <v>0.19</v>
      </c>
      <c r="G21" s="86" t="s">
        <v>43</v>
      </c>
      <c r="H21" s="418">
        <v>0.8</v>
      </c>
      <c r="I21" s="418">
        <v>0.85</v>
      </c>
    </row>
    <row r="22" spans="1:9" ht="20.25" customHeight="1" thickBot="1">
      <c r="A22" s="98" t="s">
        <v>0</v>
      </c>
      <c r="B22" s="86" t="s">
        <v>0</v>
      </c>
      <c r="C22" s="86" t="s">
        <v>0</v>
      </c>
      <c r="D22" s="308" t="s">
        <v>0</v>
      </c>
      <c r="E22" s="262" t="s">
        <v>0</v>
      </c>
      <c r="F22" s="262" t="s">
        <v>0</v>
      </c>
      <c r="G22" s="368" t="s">
        <v>0</v>
      </c>
      <c r="H22" s="62" t="s">
        <v>0</v>
      </c>
      <c r="I22" s="369" t="s">
        <v>0</v>
      </c>
    </row>
    <row r="23" spans="1:9" ht="20.25" customHeight="1" thickTop="1">
      <c r="A23" s="102"/>
      <c r="B23" s="102"/>
      <c r="C23" s="4"/>
      <c r="D23" s="180" t="s">
        <v>0</v>
      </c>
      <c r="E23" s="4"/>
      <c r="F23" s="4"/>
      <c r="G23" s="120" t="s">
        <v>45</v>
      </c>
      <c r="H23" s="181">
        <v>1.05</v>
      </c>
      <c r="I23" s="182">
        <v>1.1000000000000001</v>
      </c>
    </row>
    <row r="24" spans="1:9" ht="20.25" customHeight="1">
      <c r="A24" s="102"/>
      <c r="B24" s="102"/>
      <c r="C24" s="4"/>
      <c r="D24" s="180" t="s">
        <v>0</v>
      </c>
      <c r="E24" s="4"/>
      <c r="F24" s="4"/>
      <c r="G24" s="120" t="s">
        <v>46</v>
      </c>
      <c r="H24" s="321">
        <v>0.7</v>
      </c>
      <c r="I24" s="322">
        <v>0.75</v>
      </c>
    </row>
    <row r="25" spans="1:9" ht="20.25" customHeight="1">
      <c r="A25" s="102"/>
      <c r="B25" s="102"/>
      <c r="C25" s="4"/>
      <c r="D25" s="183" t="s">
        <v>0</v>
      </c>
      <c r="E25" s="4"/>
      <c r="F25" s="4"/>
      <c r="G25" s="120" t="s">
        <v>18</v>
      </c>
      <c r="H25" s="184">
        <f>MEDIAN(H18:H22)</f>
        <v>0.77500000000000002</v>
      </c>
      <c r="I25" s="184">
        <f>MEDIAN(I18:I22)</f>
        <v>0.82499999999999996</v>
      </c>
    </row>
    <row r="26" spans="1:9" ht="20.25" customHeight="1">
      <c r="A26" s="102"/>
      <c r="B26" s="102"/>
      <c r="C26" s="4"/>
      <c r="D26" s="123" t="s">
        <v>0</v>
      </c>
      <c r="E26" s="4"/>
      <c r="F26" s="4"/>
      <c r="G26" s="120" t="s">
        <v>443</v>
      </c>
      <c r="H26" s="185">
        <f>AVERAGE(H18:H22)</f>
        <v>0.82499999999999996</v>
      </c>
      <c r="I26" s="185">
        <f>AVERAGE(I18:I22)</f>
        <v>0.87500000000000011</v>
      </c>
    </row>
    <row r="27" spans="1:9" ht="20.25" customHeight="1" thickBot="1">
      <c r="A27" s="10"/>
      <c r="B27" s="10"/>
      <c r="C27" s="10"/>
      <c r="D27" s="10" t="s">
        <v>0</v>
      </c>
      <c r="G27" s="10"/>
      <c r="H27" s="10"/>
      <c r="I27" s="10"/>
    </row>
    <row r="28" spans="1:9" ht="20.25" customHeight="1" thickBot="1">
      <c r="A28" s="10"/>
      <c r="B28" s="10"/>
      <c r="C28" s="10"/>
      <c r="D28" s="10"/>
      <c r="G28" s="10"/>
      <c r="H28" s="206" t="s">
        <v>74</v>
      </c>
      <c r="I28" s="454">
        <v>0.88</v>
      </c>
    </row>
    <row r="29" spans="1:9" ht="20.25" customHeight="1">
      <c r="A29" s="10"/>
      <c r="B29" s="10"/>
      <c r="C29" s="10"/>
      <c r="D29" s="10"/>
      <c r="G29" s="10"/>
      <c r="H29" s="66"/>
      <c r="I29" s="282"/>
    </row>
    <row r="30" spans="1:9" ht="20.25" customHeight="1">
      <c r="A30" s="10"/>
      <c r="B30" s="10"/>
      <c r="C30" s="10"/>
      <c r="D30" s="10"/>
      <c r="G30" s="10"/>
      <c r="H30" s="66"/>
      <c r="I30" s="282"/>
    </row>
    <row r="31" spans="1:9" ht="15.75">
      <c r="A31" s="102" t="s">
        <v>351</v>
      </c>
    </row>
    <row r="32" spans="1:9" ht="15.75">
      <c r="A32" s="102" t="s">
        <v>350</v>
      </c>
    </row>
  </sheetData>
  <pageMargins left="0.25" right="0.25" top="0.75" bottom="0.75" header="0.3" footer="0.3"/>
  <pageSetup scale="6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K27"/>
  <sheetViews>
    <sheetView view="pageBreakPreview" zoomScale="60" zoomScaleNormal="80" workbookViewId="0">
      <selection activeCell="J6" sqref="J6"/>
    </sheetView>
  </sheetViews>
  <sheetFormatPr defaultRowHeight="15"/>
  <cols>
    <col min="1" max="1" width="50.42578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1" t="s">
        <v>1</v>
      </c>
      <c r="B1" s="10"/>
      <c r="C1" s="10"/>
      <c r="D1" s="10"/>
      <c r="E1" s="10"/>
      <c r="F1" s="10"/>
      <c r="G1" s="10"/>
      <c r="H1" s="10"/>
      <c r="I1" s="10"/>
      <c r="J1" s="10"/>
    </row>
    <row r="2" spans="1:11" ht="15.75">
      <c r="A2" s="22" t="s">
        <v>9</v>
      </c>
      <c r="B2" s="10"/>
      <c r="C2" s="10"/>
      <c r="D2" s="10"/>
      <c r="E2" s="10"/>
      <c r="F2" s="10"/>
      <c r="G2" s="10"/>
      <c r="H2" s="10"/>
      <c r="I2" s="10"/>
      <c r="J2" s="10"/>
    </row>
    <row r="3" spans="1:11">
      <c r="A3" s="23" t="s">
        <v>62</v>
      </c>
      <c r="B3" s="10"/>
      <c r="C3" s="10"/>
      <c r="D3" s="10"/>
      <c r="E3" s="10"/>
      <c r="F3" s="10"/>
      <c r="G3" s="10"/>
      <c r="H3" s="10"/>
      <c r="I3" s="10"/>
      <c r="J3" s="10"/>
    </row>
    <row r="4" spans="1:11">
      <c r="A4" s="23"/>
      <c r="B4" s="10"/>
      <c r="C4" s="10"/>
      <c r="D4" s="10"/>
      <c r="E4" s="10"/>
      <c r="F4" s="10"/>
      <c r="G4" s="10"/>
      <c r="H4" s="10"/>
      <c r="I4" s="10"/>
      <c r="J4" s="10"/>
    </row>
    <row r="5" spans="1:11" ht="15.75" thickBot="1">
      <c r="A5" s="10"/>
      <c r="B5" s="10"/>
      <c r="C5" s="10"/>
      <c r="D5" s="10"/>
      <c r="E5" s="10"/>
      <c r="F5" s="10"/>
      <c r="G5" s="24"/>
      <c r="H5" s="10"/>
      <c r="I5" s="10"/>
      <c r="J5" s="10"/>
    </row>
    <row r="6" spans="1:11" ht="18.75" thickBot="1">
      <c r="A6" s="266" t="str">
        <f>+'S&amp;D'!A12</f>
        <v>Air Freight Carriers</v>
      </c>
      <c r="B6" s="200"/>
      <c r="C6" s="10"/>
      <c r="D6" s="26"/>
      <c r="E6" s="26"/>
      <c r="F6" s="27" t="s">
        <v>0</v>
      </c>
      <c r="G6" s="10"/>
      <c r="H6" s="10"/>
      <c r="I6" s="10"/>
      <c r="J6" s="10"/>
    </row>
    <row r="7" spans="1:11" ht="20.25">
      <c r="A7" s="28"/>
      <c r="B7" s="10"/>
      <c r="C7" s="10"/>
      <c r="D7" s="10"/>
      <c r="E7" s="29" t="s">
        <v>174</v>
      </c>
      <c r="F7" s="10"/>
      <c r="G7" s="10"/>
      <c r="H7" s="10"/>
      <c r="I7" s="10"/>
      <c r="J7" s="10"/>
    </row>
    <row r="8" spans="1:11" ht="18.75" thickBot="1">
      <c r="A8" s="28"/>
      <c r="B8" s="10"/>
      <c r="C8" s="10"/>
      <c r="D8" s="26"/>
      <c r="E8" s="30" t="s">
        <v>76</v>
      </c>
      <c r="F8" s="26"/>
      <c r="G8" s="10"/>
      <c r="H8" s="10"/>
      <c r="I8" s="10"/>
      <c r="J8" s="10"/>
    </row>
    <row r="9" spans="1:11" ht="15.75" thickBot="1">
      <c r="A9" s="31" t="s">
        <v>0</v>
      </c>
      <c r="B9" s="31" t="s">
        <v>0</v>
      </c>
      <c r="C9" s="31" t="s">
        <v>0</v>
      </c>
      <c r="D9" s="31" t="s">
        <v>0</v>
      </c>
      <c r="E9" s="31" t="s">
        <v>0</v>
      </c>
      <c r="F9" s="31"/>
      <c r="G9" s="26"/>
      <c r="H9" s="26"/>
      <c r="I9" s="26"/>
      <c r="J9" s="26"/>
      <c r="K9" s="153"/>
    </row>
    <row r="10" spans="1:11">
      <c r="A10" s="32" t="s">
        <v>0</v>
      </c>
      <c r="B10" s="32" t="s">
        <v>3</v>
      </c>
      <c r="C10" s="32" t="s">
        <v>5</v>
      </c>
      <c r="D10" s="32" t="s">
        <v>169</v>
      </c>
      <c r="E10" s="32" t="s">
        <v>170</v>
      </c>
      <c r="F10" s="32" t="s">
        <v>172</v>
      </c>
      <c r="G10" s="32" t="s">
        <v>170</v>
      </c>
      <c r="H10" s="32" t="s">
        <v>172</v>
      </c>
      <c r="I10" s="32" t="s">
        <v>170</v>
      </c>
      <c r="J10" s="32" t="s">
        <v>172</v>
      </c>
      <c r="K10" s="32" t="s">
        <v>283</v>
      </c>
    </row>
    <row r="11" spans="1:11">
      <c r="A11" s="32"/>
      <c r="B11" s="32" t="s">
        <v>4</v>
      </c>
      <c r="C11" s="32" t="s">
        <v>6</v>
      </c>
      <c r="D11" s="32" t="s">
        <v>27</v>
      </c>
      <c r="E11" s="32" t="s">
        <v>171</v>
      </c>
      <c r="F11" s="32" t="s">
        <v>122</v>
      </c>
      <c r="G11" s="32" t="s">
        <v>171</v>
      </c>
      <c r="H11" s="32" t="s">
        <v>122</v>
      </c>
      <c r="I11" s="32" t="s">
        <v>171</v>
      </c>
      <c r="J11" s="32" t="s">
        <v>122</v>
      </c>
      <c r="K11" s="32" t="s">
        <v>186</v>
      </c>
    </row>
    <row r="12" spans="1:11" ht="15.75" thickBot="1">
      <c r="A12" s="34" t="s">
        <v>2</v>
      </c>
      <c r="B12" s="34" t="s">
        <v>0</v>
      </c>
      <c r="C12" s="34" t="s">
        <v>0</v>
      </c>
      <c r="D12" s="34" t="s">
        <v>0</v>
      </c>
      <c r="E12" s="34" t="s">
        <v>173</v>
      </c>
      <c r="F12" s="34" t="s">
        <v>173</v>
      </c>
      <c r="G12" s="34" t="s">
        <v>281</v>
      </c>
      <c r="H12" s="34" t="s">
        <v>281</v>
      </c>
      <c r="I12" s="34" t="s">
        <v>282</v>
      </c>
      <c r="J12" s="34" t="s">
        <v>282</v>
      </c>
      <c r="K12" s="230" t="s">
        <v>284</v>
      </c>
    </row>
    <row r="13" spans="1:11">
      <c r="A13" s="36" t="s">
        <v>7</v>
      </c>
      <c r="B13" s="36" t="s">
        <v>7</v>
      </c>
      <c r="C13" s="36" t="s">
        <v>7</v>
      </c>
      <c r="D13" s="37" t="s">
        <v>115</v>
      </c>
      <c r="E13" s="36" t="s">
        <v>7</v>
      </c>
      <c r="F13" s="36" t="s">
        <v>15</v>
      </c>
      <c r="G13" s="36" t="s">
        <v>7</v>
      </c>
      <c r="H13" s="36" t="s">
        <v>15</v>
      </c>
      <c r="I13" s="36" t="s">
        <v>7</v>
      </c>
      <c r="J13" s="36" t="s">
        <v>15</v>
      </c>
      <c r="K13" s="36" t="s">
        <v>15</v>
      </c>
    </row>
    <row r="14" spans="1:11">
      <c r="A14" s="32"/>
      <c r="B14" s="32"/>
      <c r="C14" s="32"/>
      <c r="D14" s="32"/>
      <c r="E14" s="32"/>
      <c r="F14" s="32"/>
      <c r="G14" s="10"/>
      <c r="H14" s="10"/>
      <c r="I14" s="10"/>
      <c r="J14" s="10"/>
      <c r="K14" s="10"/>
    </row>
    <row r="15" spans="1:11">
      <c r="A15" s="10"/>
      <c r="B15" s="10"/>
      <c r="C15" s="10"/>
      <c r="D15" s="10"/>
      <c r="E15" s="10"/>
      <c r="F15" s="10"/>
      <c r="G15" s="10"/>
      <c r="H15" s="10"/>
      <c r="I15" s="10"/>
      <c r="J15" s="10"/>
      <c r="K15" s="10"/>
    </row>
    <row r="16" spans="1:11" ht="15.75">
      <c r="A16" s="60" t="str">
        <f>+'S&amp;D'!A22</f>
        <v>Air Transport Services Group</v>
      </c>
      <c r="B16" s="86" t="str">
        <f>+'S&amp;D'!B22</f>
        <v>ATSG</v>
      </c>
      <c r="C16" s="86" t="str">
        <f>+'S&amp;D'!C22</f>
        <v>Air Trans</v>
      </c>
      <c r="D16" s="57">
        <f>+'S&amp;D'!G22</f>
        <v>25.98</v>
      </c>
      <c r="E16" s="419" t="s">
        <v>429</v>
      </c>
      <c r="F16" s="410" t="s">
        <v>428</v>
      </c>
      <c r="G16" s="419" t="s">
        <v>429</v>
      </c>
      <c r="H16" s="410" t="s">
        <v>428</v>
      </c>
      <c r="I16" s="419" t="s">
        <v>429</v>
      </c>
      <c r="J16" s="410" t="s">
        <v>428</v>
      </c>
      <c r="K16" s="421" t="s">
        <v>428</v>
      </c>
    </row>
    <row r="17" spans="1:11" ht="15.75">
      <c r="A17" s="60" t="str">
        <f>+'S&amp;D'!A23</f>
        <v>Atlas Air</v>
      </c>
      <c r="B17" s="86" t="str">
        <f>+'S&amp;D'!B23</f>
        <v>AAWW</v>
      </c>
      <c r="C17" s="86" t="str">
        <f>+'S&amp;D'!C23</f>
        <v>Air Trans</v>
      </c>
      <c r="D17" s="57">
        <f>+'S&amp;D'!G23</f>
        <v>100.8</v>
      </c>
      <c r="E17" s="419" t="s">
        <v>429</v>
      </c>
      <c r="F17" s="410" t="s">
        <v>428</v>
      </c>
      <c r="G17" s="419" t="s">
        <v>429</v>
      </c>
      <c r="H17" s="410" t="s">
        <v>428</v>
      </c>
      <c r="I17" s="419" t="s">
        <v>429</v>
      </c>
      <c r="J17" s="410" t="s">
        <v>428</v>
      </c>
      <c r="K17" s="421" t="s">
        <v>428</v>
      </c>
    </row>
    <row r="18" spans="1:11" ht="15.75">
      <c r="A18" s="60" t="str">
        <f>+'S&amp;D'!A24</f>
        <v xml:space="preserve">FedEx Corp </v>
      </c>
      <c r="B18" s="86" t="str">
        <f>+'S&amp;D'!B24</f>
        <v>FDX</v>
      </c>
      <c r="C18" s="86" t="str">
        <f>+'S&amp;D'!C24</f>
        <v>Air Trans</v>
      </c>
      <c r="D18" s="57">
        <f>+'S&amp;D'!G24</f>
        <v>173.2</v>
      </c>
      <c r="E18" s="407">
        <v>3</v>
      </c>
      <c r="F18" s="51">
        <f t="shared" ref="F18:F19" si="0">+E18/D18</f>
        <v>1.7321016166281757E-2</v>
      </c>
      <c r="G18" s="407">
        <v>4.5999999999999996</v>
      </c>
      <c r="H18" s="51">
        <f t="shared" ref="H18:H19" si="1">+G18/D18</f>
        <v>2.6558891454965358E-2</v>
      </c>
      <c r="I18" s="407">
        <v>5.5</v>
      </c>
      <c r="J18" s="51">
        <f t="shared" ref="J18:J19" si="2">+I18/D18</f>
        <v>3.1755196304849888E-2</v>
      </c>
      <c r="K18" s="420">
        <f t="shared" ref="K18:K19" si="3">RATE(3,,-G18,I18)</f>
        <v>6.1373611984150915E-2</v>
      </c>
    </row>
    <row r="19" spans="1:11" ht="15.75">
      <c r="A19" s="60" t="str">
        <f>+'S&amp;D'!A25</f>
        <v xml:space="preserve">United Parcel Service </v>
      </c>
      <c r="B19" s="86" t="str">
        <f>+'S&amp;D'!B25</f>
        <v>UPS</v>
      </c>
      <c r="C19" s="86" t="str">
        <f>+'S&amp;D'!C25</f>
        <v>Air Trans</v>
      </c>
      <c r="D19" s="57">
        <f>+'S&amp;D'!G25</f>
        <v>173.84</v>
      </c>
      <c r="E19" s="407">
        <v>6.08</v>
      </c>
      <c r="F19" s="51">
        <f t="shared" si="0"/>
        <v>3.4974689369535204E-2</v>
      </c>
      <c r="G19" s="407">
        <v>6.48</v>
      </c>
      <c r="H19" s="51">
        <f t="shared" si="1"/>
        <v>3.727565577542568E-2</v>
      </c>
      <c r="I19" s="407">
        <v>8</v>
      </c>
      <c r="J19" s="51">
        <f t="shared" si="2"/>
        <v>4.6019328117809476E-2</v>
      </c>
      <c r="K19" s="420">
        <f t="shared" si="3"/>
        <v>7.2765982895337311E-2</v>
      </c>
    </row>
    <row r="20" spans="1:11" ht="15.75" thickBot="1">
      <c r="A20" s="10"/>
      <c r="B20" s="10"/>
      <c r="C20" s="41"/>
      <c r="D20" s="44"/>
      <c r="E20" s="44"/>
      <c r="F20" s="44"/>
      <c r="G20" s="44"/>
      <c r="H20" s="44"/>
      <c r="I20" s="44"/>
      <c r="J20" s="44"/>
      <c r="K20" s="44"/>
    </row>
    <row r="21" spans="1:11" ht="15.75" thickTop="1">
      <c r="A21" s="10"/>
      <c r="B21" s="10"/>
      <c r="D21" s="12" t="s">
        <v>45</v>
      </c>
      <c r="E21" s="14">
        <v>6.08</v>
      </c>
      <c r="F21" s="389">
        <v>3.5000000000000003E-2</v>
      </c>
      <c r="G21" s="14">
        <v>6.48</v>
      </c>
      <c r="H21" s="389">
        <v>3.73E-2</v>
      </c>
      <c r="I21" s="14">
        <v>8</v>
      </c>
      <c r="J21" s="389">
        <v>4.5999999999999999E-2</v>
      </c>
      <c r="K21" s="389">
        <v>7.2800000000000004E-2</v>
      </c>
    </row>
    <row r="22" spans="1:11">
      <c r="A22" s="10"/>
      <c r="B22" s="10"/>
      <c r="D22" s="12" t="s">
        <v>46</v>
      </c>
      <c r="E22" s="320">
        <v>3</v>
      </c>
      <c r="F22" s="390">
        <v>1.7299999999999999E-2</v>
      </c>
      <c r="G22" s="320">
        <v>4.5999999999999996</v>
      </c>
      <c r="H22" s="390">
        <v>2.6599999999999999E-2</v>
      </c>
      <c r="I22" s="320">
        <v>5.5</v>
      </c>
      <c r="J22" s="390">
        <v>3.1800000000000002E-2</v>
      </c>
      <c r="K22" s="390">
        <v>6.1400000000000003E-2</v>
      </c>
    </row>
    <row r="23" spans="1:11">
      <c r="A23" s="10"/>
      <c r="B23" s="10"/>
      <c r="D23" s="12" t="s">
        <v>18</v>
      </c>
      <c r="E23" s="15">
        <f t="shared" ref="E23:K23" si="4">MEDIAN(E16:E19)</f>
        <v>4.54</v>
      </c>
      <c r="F23" s="52">
        <f t="shared" si="4"/>
        <v>2.6147852767908479E-2</v>
      </c>
      <c r="G23" s="15">
        <f t="shared" si="4"/>
        <v>5.54</v>
      </c>
      <c r="H23" s="52">
        <f t="shared" si="4"/>
        <v>3.1917273615195516E-2</v>
      </c>
      <c r="I23" s="15">
        <f t="shared" si="4"/>
        <v>6.75</v>
      </c>
      <c r="J23" s="52">
        <f t="shared" si="4"/>
        <v>3.8887262211329682E-2</v>
      </c>
      <c r="K23" s="52">
        <f t="shared" si="4"/>
        <v>6.7069797439744117E-2</v>
      </c>
    </row>
    <row r="24" spans="1:11">
      <c r="A24" s="10"/>
      <c r="B24" s="10"/>
      <c r="D24" s="12" t="s">
        <v>443</v>
      </c>
      <c r="E24" s="19">
        <f t="shared" ref="E24:K24" si="5">AVERAGE(E16:E19)</f>
        <v>4.54</v>
      </c>
      <c r="F24" s="54">
        <f t="shared" si="5"/>
        <v>2.6147852767908479E-2</v>
      </c>
      <c r="G24" s="19">
        <f t="shared" si="5"/>
        <v>5.54</v>
      </c>
      <c r="H24" s="54">
        <f t="shared" si="5"/>
        <v>3.1917273615195516E-2</v>
      </c>
      <c r="I24" s="19">
        <f t="shared" si="5"/>
        <v>6.75</v>
      </c>
      <c r="J24" s="54">
        <f t="shared" si="5"/>
        <v>3.8887262211329682E-2</v>
      </c>
      <c r="K24" s="54">
        <f t="shared" si="5"/>
        <v>6.7069797439744117E-2</v>
      </c>
    </row>
    <row r="25" spans="1:11">
      <c r="A25" s="10"/>
      <c r="B25" s="10"/>
      <c r="C25" s="10"/>
      <c r="D25" s="10"/>
      <c r="E25" s="10"/>
      <c r="F25" s="10"/>
      <c r="G25" s="10"/>
      <c r="H25" s="10"/>
      <c r="I25" s="10"/>
      <c r="J25" s="10"/>
      <c r="K25" s="10"/>
    </row>
    <row r="26" spans="1:11" ht="20.25">
      <c r="A26" s="10"/>
      <c r="B26" s="10"/>
      <c r="C26" s="10"/>
      <c r="D26" s="10"/>
      <c r="E26" s="10"/>
      <c r="F26" s="47" t="s">
        <v>0</v>
      </c>
      <c r="G26" s="61" t="s">
        <v>0</v>
      </c>
      <c r="H26" s="10"/>
      <c r="I26" s="10"/>
      <c r="J26" s="10"/>
      <c r="K26" s="10"/>
    </row>
    <row r="27" spans="1:11" ht="18.75">
      <c r="A27" s="231" t="s">
        <v>285</v>
      </c>
    </row>
  </sheetData>
  <pageMargins left="0.25" right="0.25"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26"/>
  <sheetViews>
    <sheetView view="pageBreakPreview" zoomScale="60" zoomScaleNormal="80" workbookViewId="0">
      <selection activeCell="D24" sqref="D24"/>
    </sheetView>
  </sheetViews>
  <sheetFormatPr defaultRowHeight="15"/>
  <cols>
    <col min="1" max="1" width="51.5703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1" t="s">
        <v>1</v>
      </c>
      <c r="B1" s="10"/>
      <c r="C1" s="10"/>
      <c r="D1" s="10"/>
      <c r="E1" s="10"/>
      <c r="F1" s="10"/>
      <c r="G1" s="10"/>
      <c r="H1" s="10"/>
      <c r="I1" s="10"/>
      <c r="J1" s="10"/>
    </row>
    <row r="2" spans="1:11" ht="15.75">
      <c r="A2" s="22" t="s">
        <v>9</v>
      </c>
      <c r="B2" s="10"/>
      <c r="C2" s="10"/>
      <c r="D2" s="10"/>
      <c r="E2" s="10"/>
      <c r="F2" s="10"/>
      <c r="G2" s="10"/>
      <c r="H2" s="10"/>
      <c r="I2" s="10"/>
      <c r="J2" s="10"/>
    </row>
    <row r="3" spans="1:11">
      <c r="A3" s="23" t="s">
        <v>62</v>
      </c>
      <c r="B3" s="10"/>
      <c r="C3" s="10"/>
      <c r="D3" s="10"/>
      <c r="E3" s="10"/>
      <c r="F3" s="10"/>
      <c r="G3" s="10"/>
      <c r="H3" s="10"/>
      <c r="I3" s="10"/>
      <c r="J3" s="10"/>
    </row>
    <row r="4" spans="1:11">
      <c r="A4" s="23"/>
      <c r="B4" s="10"/>
      <c r="C4" s="10"/>
      <c r="D4" s="10"/>
      <c r="E4" s="10"/>
      <c r="F4" s="10"/>
      <c r="G4" s="10"/>
      <c r="H4" s="10"/>
      <c r="I4" s="10"/>
      <c r="J4" s="10"/>
    </row>
    <row r="5" spans="1:11" ht="15.75" thickBot="1">
      <c r="A5" s="10"/>
      <c r="B5" s="10"/>
      <c r="C5" s="10"/>
      <c r="D5" s="10"/>
      <c r="E5" s="10"/>
      <c r="F5" s="10"/>
      <c r="G5" s="24"/>
      <c r="H5" s="10"/>
      <c r="I5" s="10"/>
      <c r="J5" s="10"/>
    </row>
    <row r="6" spans="1:11" ht="18.75" thickBot="1">
      <c r="A6" s="266" t="str">
        <f>+'S&amp;D'!A12</f>
        <v>Air Freight Carriers</v>
      </c>
      <c r="B6" s="200"/>
      <c r="C6" s="10"/>
      <c r="D6" s="26"/>
      <c r="E6" s="26"/>
      <c r="F6" s="27" t="s">
        <v>0</v>
      </c>
      <c r="G6" s="10"/>
      <c r="H6" s="10"/>
      <c r="I6" s="10"/>
      <c r="J6" s="10"/>
    </row>
    <row r="7" spans="1:11" ht="20.25">
      <c r="A7" s="28"/>
      <c r="B7" s="10"/>
      <c r="C7" s="10"/>
      <c r="D7" s="10"/>
      <c r="E7" s="29" t="s">
        <v>286</v>
      </c>
      <c r="F7" s="10"/>
      <c r="G7" s="10"/>
      <c r="H7" s="10"/>
      <c r="I7" s="10"/>
      <c r="J7" s="10"/>
    </row>
    <row r="8" spans="1:11" ht="18.75" thickBot="1">
      <c r="A8" s="28"/>
      <c r="B8" s="10"/>
      <c r="C8" s="10"/>
      <c r="D8" s="26"/>
      <c r="E8" s="30" t="s">
        <v>76</v>
      </c>
      <c r="F8" s="26"/>
      <c r="G8" s="10"/>
      <c r="H8" s="10"/>
      <c r="I8" s="10"/>
      <c r="J8" s="10"/>
    </row>
    <row r="9" spans="1:11" ht="15.75" thickBot="1">
      <c r="A9" s="31" t="s">
        <v>0</v>
      </c>
      <c r="B9" s="31" t="s">
        <v>0</v>
      </c>
      <c r="C9" s="31" t="s">
        <v>0</v>
      </c>
      <c r="D9" s="31" t="s">
        <v>0</v>
      </c>
      <c r="E9" s="31" t="s">
        <v>0</v>
      </c>
      <c r="F9" s="31"/>
      <c r="G9" s="26"/>
      <c r="H9" s="26"/>
      <c r="I9" s="26"/>
      <c r="J9" s="26"/>
      <c r="K9" s="153"/>
    </row>
    <row r="10" spans="1:11">
      <c r="A10" s="32" t="s">
        <v>0</v>
      </c>
      <c r="B10" s="32" t="s">
        <v>3</v>
      </c>
      <c r="C10" s="32" t="s">
        <v>5</v>
      </c>
      <c r="D10" s="32" t="s">
        <v>169</v>
      </c>
      <c r="E10" s="32" t="s">
        <v>175</v>
      </c>
      <c r="F10" s="32" t="s">
        <v>175</v>
      </c>
      <c r="G10" s="32" t="s">
        <v>175</v>
      </c>
      <c r="H10" s="32" t="s">
        <v>175</v>
      </c>
      <c r="I10" s="32" t="s">
        <v>175</v>
      </c>
      <c r="J10" s="32" t="s">
        <v>175</v>
      </c>
      <c r="K10" s="32" t="s">
        <v>283</v>
      </c>
    </row>
    <row r="11" spans="1:11">
      <c r="A11" s="32"/>
      <c r="B11" s="32" t="s">
        <v>4</v>
      </c>
      <c r="C11" s="32" t="s">
        <v>6</v>
      </c>
      <c r="D11" s="32" t="s">
        <v>27</v>
      </c>
      <c r="E11" s="32" t="s">
        <v>171</v>
      </c>
      <c r="F11" s="32" t="s">
        <v>122</v>
      </c>
      <c r="G11" s="32" t="s">
        <v>171</v>
      </c>
      <c r="H11" s="32" t="s">
        <v>122</v>
      </c>
      <c r="I11" s="32" t="s">
        <v>171</v>
      </c>
      <c r="J11" s="32" t="s">
        <v>122</v>
      </c>
      <c r="K11" s="32" t="s">
        <v>186</v>
      </c>
    </row>
    <row r="12" spans="1:11" ht="15.75" thickBot="1">
      <c r="A12" s="34" t="s">
        <v>2</v>
      </c>
      <c r="B12" s="34" t="s">
        <v>0</v>
      </c>
      <c r="C12" s="34" t="s">
        <v>0</v>
      </c>
      <c r="D12" s="34" t="s">
        <v>0</v>
      </c>
      <c r="E12" s="34" t="s">
        <v>173</v>
      </c>
      <c r="F12" s="34" t="s">
        <v>173</v>
      </c>
      <c r="G12" s="34" t="s">
        <v>281</v>
      </c>
      <c r="H12" s="34" t="s">
        <v>281</v>
      </c>
      <c r="I12" s="34" t="s">
        <v>282</v>
      </c>
      <c r="J12" s="34" t="s">
        <v>282</v>
      </c>
      <c r="K12" s="230" t="s">
        <v>284</v>
      </c>
    </row>
    <row r="13" spans="1:11">
      <c r="A13" s="36" t="s">
        <v>7</v>
      </c>
      <c r="B13" s="36" t="s">
        <v>7</v>
      </c>
      <c r="C13" s="36" t="s">
        <v>7</v>
      </c>
      <c r="D13" s="37" t="s">
        <v>115</v>
      </c>
      <c r="E13" s="36" t="s">
        <v>7</v>
      </c>
      <c r="F13" s="36" t="s">
        <v>15</v>
      </c>
      <c r="G13" s="36" t="s">
        <v>7</v>
      </c>
      <c r="H13" s="36" t="s">
        <v>15</v>
      </c>
      <c r="I13" s="36" t="s">
        <v>7</v>
      </c>
      <c r="J13" s="36" t="s">
        <v>15</v>
      </c>
      <c r="K13" s="36" t="s">
        <v>15</v>
      </c>
    </row>
    <row r="14" spans="1:11">
      <c r="A14" s="32"/>
      <c r="B14" s="32"/>
      <c r="C14" s="32"/>
      <c r="D14" s="32"/>
      <c r="E14" s="32"/>
      <c r="F14" s="32"/>
      <c r="G14" s="10"/>
      <c r="H14" s="10"/>
      <c r="I14" s="10"/>
      <c r="J14" s="10"/>
      <c r="K14" s="10"/>
    </row>
    <row r="15" spans="1:11">
      <c r="A15" s="10"/>
      <c r="B15" s="10"/>
      <c r="C15" s="10"/>
      <c r="D15" s="10"/>
      <c r="E15" s="10"/>
      <c r="F15" s="10"/>
      <c r="G15" s="10"/>
      <c r="H15" s="10"/>
      <c r="I15" s="10"/>
      <c r="J15" s="10"/>
      <c r="K15" s="10"/>
    </row>
    <row r="16" spans="1:11" ht="15.75">
      <c r="A16" s="41" t="str">
        <f>+'S&amp;D'!A22</f>
        <v>Air Transport Services Group</v>
      </c>
      <c r="B16" s="32" t="str">
        <f>+'S&amp;D'!B22</f>
        <v>ATSG</v>
      </c>
      <c r="C16" s="32" t="str">
        <f>+'S&amp;D'!C22</f>
        <v>Air Trans</v>
      </c>
      <c r="D16" s="57">
        <f>+'S&amp;D'!G22</f>
        <v>25.98</v>
      </c>
      <c r="E16" s="407">
        <v>2.2999999999999998</v>
      </c>
      <c r="F16" s="51">
        <f>+E16/D16</f>
        <v>8.8529638183217851E-2</v>
      </c>
      <c r="G16" s="407">
        <v>2.5</v>
      </c>
      <c r="H16" s="51">
        <f>+G16/D16</f>
        <v>9.6227867590454194E-2</v>
      </c>
      <c r="I16" s="407">
        <v>2.85</v>
      </c>
      <c r="J16" s="51">
        <f>+I16/D16</f>
        <v>0.10969976905311779</v>
      </c>
      <c r="K16" s="420">
        <f t="shared" ref="K16" si="0">RATE(3,,-G16,I16)</f>
        <v>4.4643926822318714E-2</v>
      </c>
    </row>
    <row r="17" spans="1:11" ht="15.75">
      <c r="A17" s="41" t="str">
        <f>+'S&amp;D'!A23</f>
        <v>Atlas Air</v>
      </c>
      <c r="B17" s="32" t="str">
        <f>+'S&amp;D'!B23</f>
        <v>AAWW</v>
      </c>
      <c r="C17" s="32" t="str">
        <f>+'S&amp;D'!C23</f>
        <v>Air Trans</v>
      </c>
      <c r="D17" s="57">
        <f>+'S&amp;D'!G23</f>
        <v>100.8</v>
      </c>
      <c r="E17" s="407">
        <v>14.45</v>
      </c>
      <c r="F17" s="51">
        <f t="shared" ref="F17:F19" si="1">+E17/D17</f>
        <v>0.14335317460317459</v>
      </c>
      <c r="G17" s="407">
        <v>13.8</v>
      </c>
      <c r="H17" s="51">
        <f t="shared" ref="H17:H19" si="2">+G17/D17</f>
        <v>0.13690476190476192</v>
      </c>
      <c r="I17" s="407">
        <v>15.1</v>
      </c>
      <c r="J17" s="51">
        <f t="shared" ref="J17:J19" si="3">+I17/D17</f>
        <v>0.1498015873015873</v>
      </c>
      <c r="K17" s="420">
        <f t="shared" ref="K17:K19" si="4">RATE(3,,-G17,I17)</f>
        <v>3.0463516690758603E-2</v>
      </c>
    </row>
    <row r="18" spans="1:11" ht="15.75">
      <c r="A18" s="41" t="str">
        <f>+'S&amp;D'!A24</f>
        <v xml:space="preserve">FedEx Corp </v>
      </c>
      <c r="B18" s="32" t="str">
        <f>+'S&amp;D'!B24</f>
        <v>FDX</v>
      </c>
      <c r="C18" s="32" t="str">
        <f>+'S&amp;D'!C24</f>
        <v>Air Trans</v>
      </c>
      <c r="D18" s="57">
        <f>+'S&amp;D'!G24</f>
        <v>173.2</v>
      </c>
      <c r="E18" s="407">
        <v>20.61</v>
      </c>
      <c r="F18" s="51">
        <f t="shared" si="1"/>
        <v>0.11899538106235566</v>
      </c>
      <c r="G18" s="407">
        <v>14</v>
      </c>
      <c r="H18" s="51">
        <f t="shared" si="2"/>
        <v>8.0831408775981536E-2</v>
      </c>
      <c r="I18" s="407">
        <v>26.95</v>
      </c>
      <c r="J18" s="51">
        <f t="shared" si="3"/>
        <v>0.15560046189376445</v>
      </c>
      <c r="K18" s="420">
        <f t="shared" si="4"/>
        <v>0.24397096736210871</v>
      </c>
    </row>
    <row r="19" spans="1:11" ht="16.5" thickBot="1">
      <c r="A19" s="41" t="str">
        <f>+'S&amp;D'!A25</f>
        <v xml:space="preserve">United Parcel Service </v>
      </c>
      <c r="B19" s="32" t="str">
        <f>+'S&amp;D'!B25</f>
        <v>UPS</v>
      </c>
      <c r="C19" s="32" t="str">
        <f>+'S&amp;D'!C25</f>
        <v>Air Trans</v>
      </c>
      <c r="D19" s="57">
        <f>+'S&amp;D'!G25</f>
        <v>173.84</v>
      </c>
      <c r="E19" s="422">
        <v>12.94</v>
      </c>
      <c r="F19" s="337">
        <f t="shared" si="1"/>
        <v>7.4436263230556826E-2</v>
      </c>
      <c r="G19" s="422">
        <v>11.5</v>
      </c>
      <c r="H19" s="337">
        <f t="shared" si="2"/>
        <v>6.6152784169351123E-2</v>
      </c>
      <c r="I19" s="422">
        <v>15.5</v>
      </c>
      <c r="J19" s="337">
        <f t="shared" si="3"/>
        <v>8.9162448228255864E-2</v>
      </c>
      <c r="K19" s="423">
        <f t="shared" si="4"/>
        <v>0.10461588908611912</v>
      </c>
    </row>
    <row r="20" spans="1:11" ht="15.75" thickTop="1">
      <c r="A20" s="10"/>
      <c r="B20" s="10"/>
      <c r="D20" s="12" t="s">
        <v>45</v>
      </c>
      <c r="E20" s="14">
        <v>20.61</v>
      </c>
      <c r="F20" s="389">
        <v>0.1434</v>
      </c>
      <c r="G20" s="14">
        <v>14</v>
      </c>
      <c r="H20" s="389">
        <v>0.13689999999999999</v>
      </c>
      <c r="I20" s="14">
        <v>26.95</v>
      </c>
      <c r="J20" s="389">
        <v>0.15559999999999999</v>
      </c>
      <c r="K20" s="389">
        <v>0.24399999999999999</v>
      </c>
    </row>
    <row r="21" spans="1:11">
      <c r="A21" s="10"/>
      <c r="B21" s="10"/>
      <c r="D21" s="323" t="s">
        <v>46</v>
      </c>
      <c r="E21" s="320">
        <v>2.2999999999999998</v>
      </c>
      <c r="F21" s="390">
        <v>7.4499999999999997E-2</v>
      </c>
      <c r="G21" s="320">
        <v>2.5</v>
      </c>
      <c r="H21" s="390">
        <v>6.6199999999999995E-2</v>
      </c>
      <c r="I21" s="320">
        <v>2.85</v>
      </c>
      <c r="J21" s="390">
        <v>8.9200000000000002E-2</v>
      </c>
      <c r="K21" s="390">
        <v>3.0499999999999999E-2</v>
      </c>
    </row>
    <row r="22" spans="1:11">
      <c r="A22" s="10"/>
      <c r="B22" s="10"/>
      <c r="D22" s="12" t="s">
        <v>18</v>
      </c>
      <c r="E22" s="15">
        <f t="shared" ref="E22:K22" si="5">MEDIAN(E16:E19)</f>
        <v>13.695</v>
      </c>
      <c r="F22" s="52">
        <f t="shared" si="5"/>
        <v>0.10376250962278676</v>
      </c>
      <c r="G22" s="15">
        <f t="shared" si="5"/>
        <v>12.65</v>
      </c>
      <c r="H22" s="52">
        <f t="shared" si="5"/>
        <v>8.8529638183217865E-2</v>
      </c>
      <c r="I22" s="15">
        <f t="shared" si="5"/>
        <v>15.3</v>
      </c>
      <c r="J22" s="52">
        <f t="shared" si="5"/>
        <v>0.12975067817735253</v>
      </c>
      <c r="K22" s="52">
        <f t="shared" si="5"/>
        <v>7.4629907954218921E-2</v>
      </c>
    </row>
    <row r="23" spans="1:11">
      <c r="A23" s="10"/>
      <c r="B23" s="10"/>
      <c r="D23" s="12" t="s">
        <v>443</v>
      </c>
      <c r="E23" s="19">
        <f t="shared" ref="E23:K23" si="6">AVERAGE(E16:E19)</f>
        <v>12.574999999999999</v>
      </c>
      <c r="F23" s="54">
        <f t="shared" si="6"/>
        <v>0.10632861426982623</v>
      </c>
      <c r="G23" s="19">
        <f t="shared" si="6"/>
        <v>10.45</v>
      </c>
      <c r="H23" s="54">
        <f t="shared" si="6"/>
        <v>9.5029205610137196E-2</v>
      </c>
      <c r="I23" s="19">
        <f t="shared" si="6"/>
        <v>15.1</v>
      </c>
      <c r="J23" s="54">
        <f t="shared" si="6"/>
        <v>0.12606606661918135</v>
      </c>
      <c r="K23" s="54">
        <f t="shared" si="6"/>
        <v>0.10592357499032629</v>
      </c>
    </row>
    <row r="24" spans="1:11">
      <c r="A24" s="10"/>
      <c r="B24" s="10"/>
      <c r="C24" s="10"/>
      <c r="D24" s="10"/>
      <c r="E24" s="10"/>
      <c r="F24" s="10"/>
      <c r="G24" s="10"/>
      <c r="H24" s="10"/>
      <c r="I24" s="10"/>
      <c r="J24" s="10"/>
      <c r="K24" s="10"/>
    </row>
    <row r="25" spans="1:11" ht="20.25">
      <c r="A25" s="10"/>
      <c r="B25" s="10"/>
      <c r="C25" s="10"/>
      <c r="D25" s="10"/>
      <c r="E25" s="10"/>
      <c r="F25" s="47" t="s">
        <v>0</v>
      </c>
      <c r="G25" s="61" t="s">
        <v>0</v>
      </c>
      <c r="H25" s="10"/>
      <c r="I25" s="10"/>
      <c r="J25" s="10"/>
      <c r="K25" s="10"/>
    </row>
    <row r="26" spans="1:11" ht="18.75">
      <c r="A26" s="231" t="s">
        <v>285</v>
      </c>
    </row>
  </sheetData>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CFB36B36E7EE46B860E7832FBC9DDB" ma:contentTypeVersion="1" ma:contentTypeDescription="Create a new document." ma:contentTypeScope="" ma:versionID="bff476506a81a32367fb2f95cb3debc2">
  <xsd:schema xmlns:xsd="http://www.w3.org/2001/XMLSchema" xmlns:xs="http://www.w3.org/2001/XMLSchema" xmlns:p="http://schemas.microsoft.com/office/2006/metadata/properties" xmlns:ns2="f94b9277-b0a3-4d91-bade-04ea91219630" targetNamespace="http://schemas.microsoft.com/office/2006/metadata/properties" ma:root="true" ma:fieldsID="93ea9a64a9ab47897a537ad3dd05bc89" ns2:_="">
    <xsd:import namespace="f94b9277-b0a3-4d91-bade-04ea912196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C43792-C6BB-4059-9393-72A846747CCE}"/>
</file>

<file path=customXml/itemProps2.xml><?xml version="1.0" encoding="utf-8"?>
<ds:datastoreItem xmlns:ds="http://schemas.openxmlformats.org/officeDocument/2006/customXml" ds:itemID="{877A1B56-EF45-4BC7-BB68-23E69347436F}"/>
</file>

<file path=customXml/itemProps3.xml><?xml version="1.0" encoding="utf-8"?>
<ds:datastoreItem xmlns:ds="http://schemas.openxmlformats.org/officeDocument/2006/customXml" ds:itemID="{D3EB6AA5-313D-46F2-BA64-6B0361E56B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 </vt:lpstr>
      <vt:lpstr>CAPM</vt:lpstr>
      <vt:lpstr>Single Stage Div Growth Model</vt:lpstr>
      <vt:lpstr>Two-Stage Div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 '!Print_Area</vt:lpstr>
      <vt:lpstr>'Maintenance CapEx'!Print_Area</vt:lpstr>
      <vt:lpstr>'Market to Book Ratios'!Print_Area</vt:lpstr>
      <vt:lpstr>Multiples!Print_Area</vt:lpstr>
      <vt:lpstr>'S&amp;D'!Print_Area</vt:lpstr>
      <vt:lpstr>'Single Stage Div Growth Model'!Print_Area</vt:lpstr>
      <vt:lpstr>'Two-Stage Div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Cap Rate Study - Air Freight Carriers</dc:title>
  <dc:creator>%USERNAME%</dc:creator>
  <cp:lastModifiedBy>Baker, Mike A (DOR)</cp:lastModifiedBy>
  <cp:lastPrinted>2023-05-30T14:34:39Z</cp:lastPrinted>
  <dcterms:created xsi:type="dcterms:W3CDTF">2016-02-12T19:29:24Z</dcterms:created>
  <dcterms:modified xsi:type="dcterms:W3CDTF">2023-06-05T15:15:54Z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0x01010019CFB36B36E7EE46B860E7832FBC9DDB</vt:lpwstr>
  </property>
</Properties>
</file>